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0" yWindow="0" windowWidth="25060" windowHeight="16260" tabRatio="899" activeTab="0"/>
  </bookViews>
  <sheets>
    <sheet name="Daniels Tables" sheetId="1" r:id="rId1"/>
    <sheet name="Instructions" sheetId="2" r:id="rId2"/>
  </sheets>
  <definedNames>
    <definedName name="AccessDatabase" hidden="1">"G:\My Documents\runlog.mdb"</definedName>
    <definedName name="_xlnm.Print_Area" localSheetId="0">'Daniels Tables'!$B$3:$R$44</definedName>
    <definedName name="DailyRange" localSheetId="0">'Daniels Tables'!$P$32:$P$38</definedName>
    <definedName name="DailyRange">#REF!</definedName>
    <definedName name="dist" localSheetId="0">IF(dist_pref="Miles",miles,kilometers)</definedName>
    <definedName name="dist" localSheetId="1">IF(dist_pref="Miles",miles,kilometers)</definedName>
    <definedName name="dist">IF(dist_pref="Miles",miles,kilometers)</definedName>
    <definedName name="dist?">IF(dist_pref="Miles",miles,kilometers)</definedName>
    <definedName name="WeeklyRange" localSheetId="0">'Daniels Tables'!$R$32:$R$38</definedName>
    <definedName name="WeeklyRange">#REF!</definedName>
  </definedNames>
  <calcPr fullCalcOnLoad="1"/>
</workbook>
</file>

<file path=xl/comments1.xml><?xml version="1.0" encoding="utf-8"?>
<comments xmlns="http://schemas.openxmlformats.org/spreadsheetml/2006/main">
  <authors>
    <author>HP Pavilion User</author>
    <author>TECO</author>
    <author>Herman</author>
  </authors>
  <commentList>
    <comment ref="G6" authorId="0">
      <text>
        <r>
          <rPr>
            <sz val="10"/>
            <rFont val="Tahoma"/>
            <family val="2"/>
          </rPr>
          <t xml:space="preserve">Enter all times as
</t>
        </r>
        <r>
          <rPr>
            <b/>
            <sz val="10"/>
            <rFont val="Tahoma"/>
            <family val="2"/>
          </rPr>
          <t>h:mm:ss</t>
        </r>
        <r>
          <rPr>
            <sz val="10"/>
            <rFont val="Tahoma"/>
            <family val="2"/>
          </rPr>
          <t xml:space="preserve">
Hours must be entered even if zero.</t>
        </r>
      </text>
    </comment>
    <comment ref="I6" authorId="0">
      <text>
        <r>
          <rPr>
            <sz val="8"/>
            <rFont val="Tahoma"/>
            <family val="2"/>
          </rPr>
          <t>Valid VDOT range is
25 to 85.</t>
        </r>
      </text>
    </comment>
    <comment ref="B109" authorId="1">
      <text>
        <r>
          <rPr>
            <b/>
            <sz val="8"/>
            <rFont val="Tahoma"/>
            <family val="2"/>
          </rPr>
          <t>Includes recovery runs after hard days, and any other running  around 2 min/mile slower than Marathon pace.</t>
        </r>
      </text>
    </comment>
    <comment ref="B110" authorId="1">
      <text>
        <r>
          <rPr>
            <b/>
            <sz val="8"/>
            <rFont val="Tahoma"/>
            <family val="2"/>
          </rPr>
          <t>30 to 90 minutes.
Around 1 min/mile slower than Marathon pace.</t>
        </r>
      </text>
    </comment>
    <comment ref="B111" authorId="1">
      <text>
        <r>
          <rPr>
            <b/>
            <sz val="8"/>
            <rFont val="Tahoma"/>
            <family val="2"/>
          </rPr>
          <t>25-33% percent of weekly total. 90 min up to 2.5 hours or longer. 
Around 1 to 1.5 min/mile slower than Marathon pace.</t>
        </r>
      </text>
    </comment>
    <comment ref="B112" authorId="1">
      <text>
        <r>
          <rPr>
            <b/>
            <sz val="8"/>
            <rFont val="Tahoma"/>
            <family val="2"/>
          </rPr>
          <t>7-16 Miles.  
60 to 150 minutes.</t>
        </r>
      </text>
    </comment>
    <comment ref="B113" authorId="1">
      <text>
        <r>
          <rPr>
            <b/>
            <sz val="8"/>
            <rFont val="Tahoma"/>
            <family val="2"/>
          </rPr>
          <t>Up to 10% of weekly total.
25-30 sec slower than 5k pace.</t>
        </r>
      </text>
    </comment>
    <comment ref="B115" authorId="1">
      <text>
        <r>
          <rPr>
            <b/>
            <sz val="8"/>
            <rFont val="Tahoma"/>
            <family val="2"/>
          </rPr>
          <t>Up to 8% of weekly total.
Around 3k-5k pace.</t>
        </r>
      </text>
    </comment>
    <comment ref="B116" authorId="1">
      <text>
        <r>
          <rPr>
            <b/>
            <sz val="8"/>
            <rFont val="Tahoma"/>
            <family val="2"/>
          </rPr>
          <t>Up to 5% of weekly total.
Target Race Pace.</t>
        </r>
      </text>
    </comment>
    <comment ref="M30" authorId="2">
      <text>
        <r>
          <rPr>
            <b/>
            <sz val="8"/>
            <rFont val="Tahoma"/>
            <family val="2"/>
          </rPr>
          <t>For this field Time Entry must be in h:mm:ss format</t>
        </r>
      </text>
    </comment>
    <comment ref="O30" authorId="2">
      <text>
        <r>
          <rPr>
            <b/>
            <sz val="8"/>
            <rFont val="Tahoma"/>
            <family val="2"/>
          </rPr>
          <t>Enter Pace in mm:ss format</t>
        </r>
      </text>
    </comment>
  </commentList>
</comments>
</file>

<file path=xl/sharedStrings.xml><?xml version="1.0" encoding="utf-8"?>
<sst xmlns="http://schemas.openxmlformats.org/spreadsheetml/2006/main" count="422" uniqueCount="337">
  <si>
    <t>Distance Based Intensity Points Grid (Daniels)</t>
  </si>
  <si>
    <t>1 Mile</t>
  </si>
  <si>
    <t>Marathon</t>
  </si>
  <si>
    <t>-</t>
  </si>
  <si>
    <t>Recovery</t>
  </si>
  <si>
    <t>Easy Aerobic Zone</t>
  </si>
  <si>
    <t>1/2 Mar</t>
  </si>
  <si>
    <t>15k</t>
  </si>
  <si>
    <t>12k</t>
  </si>
  <si>
    <t>10k</t>
  </si>
  <si>
    <t>8k</t>
  </si>
  <si>
    <t>5k</t>
  </si>
  <si>
    <t>3k</t>
  </si>
  <si>
    <t xml:space="preserve">Points Factor </t>
  </si>
  <si>
    <t>Race Times --&gt;</t>
  </si>
  <si>
    <t>http://www.electricblues.com/runpro.html</t>
  </si>
  <si>
    <t>Contributors</t>
  </si>
  <si>
    <t>Founding Member, Association of Road Racing Statisticians. &lt;http://www.arrs.net&gt;&lt;Riegelpete@aol.com&gt;</t>
  </si>
  <si>
    <t>Bibliography/Works Cited</t>
  </si>
  <si>
    <r>
      <t xml:space="preserve">Daniels, Jack. </t>
    </r>
    <r>
      <rPr>
        <i/>
        <u val="single"/>
        <sz val="10"/>
        <rFont val="Arial"/>
        <family val="2"/>
      </rPr>
      <t>Daniels' Running Formula</t>
    </r>
    <r>
      <rPr>
        <sz val="10"/>
        <rFont val="Arial"/>
        <family val="0"/>
      </rPr>
      <t xml:space="preserve"> (2nd Edition). Champaign, IL : Human Kinetics, c2005.</t>
    </r>
  </si>
  <si>
    <t xml:space="preserve">Website - </t>
  </si>
  <si>
    <t xml:space="preserve">Pace / Mile </t>
  </si>
  <si>
    <t>Mon</t>
  </si>
  <si>
    <t>Tues</t>
  </si>
  <si>
    <t>Wed</t>
  </si>
  <si>
    <t>Thur</t>
  </si>
  <si>
    <t>Fri</t>
  </si>
  <si>
    <t>Sat</t>
  </si>
  <si>
    <t xml:space="preserve"> Weekly Point Levels</t>
  </si>
  <si>
    <t>% of HRMax</t>
  </si>
  <si>
    <t>Point Value</t>
  </si>
  <si>
    <t>These figures needed for worksheet calcs… do not disturb!</t>
  </si>
  <si>
    <t>Hi Aero</t>
  </si>
  <si>
    <t>[Novice High School - 50 points]   [Advanced High School - 100 points]   [College - 150 points]   [Elite - 200 points]</t>
  </si>
  <si>
    <t>Lactate Threshold Zone (LT)</t>
  </si>
  <si>
    <t xml:space="preserve">Daniels outlines the following general guidelines regarding total weekly point levels: </t>
  </si>
  <si>
    <t xml:space="preserve">Train / Race HR </t>
  </si>
  <si>
    <t xml:space="preserve">% of HRmax </t>
  </si>
  <si>
    <t xml:space="preserve">Pace / km </t>
  </si>
  <si>
    <t>% VDOT</t>
  </si>
  <si>
    <t>Duration</t>
  </si>
  <si>
    <t>Mod Aero</t>
  </si>
  <si>
    <t>This table calculates Intensity Points based on effort (Percent of HRmax) and distance of run.</t>
  </si>
  <si>
    <r>
      <t xml:space="preserve">Daniels, Jack. </t>
    </r>
    <r>
      <rPr>
        <i/>
        <u val="single"/>
        <sz val="10"/>
        <rFont val="Arial"/>
        <family val="2"/>
      </rPr>
      <t>Daniels' Running Formula</t>
    </r>
    <r>
      <rPr>
        <sz val="10"/>
        <rFont val="Arial"/>
        <family val="0"/>
      </rPr>
      <t xml:space="preserve"> (1nd Edition). Champaign, IL : Human Kinetics, c1998.</t>
    </r>
  </si>
  <si>
    <r>
      <t xml:space="preserve">Daniels, Jack, and Jimmy Gilbert.  </t>
    </r>
    <r>
      <rPr>
        <i/>
        <u val="single"/>
        <sz val="10"/>
        <rFont val="Arial"/>
        <family val="2"/>
      </rPr>
      <t>Oxygen Power: Performance Tables for Distance Runners</t>
    </r>
    <r>
      <rPr>
        <sz val="10"/>
        <rFont val="Arial"/>
        <family val="0"/>
      </rPr>
      <t>. Jack Daniels, Jimmy Gilbert c1979</t>
    </r>
  </si>
  <si>
    <t>Time:</t>
  </si>
  <si>
    <t>Distance</t>
  </si>
  <si>
    <t>Time</t>
  </si>
  <si>
    <t>Pace</t>
  </si>
  <si>
    <t>1500m</t>
  </si>
  <si>
    <t>2k</t>
  </si>
  <si>
    <t>2 Mile</t>
  </si>
  <si>
    <t>3 Mile</t>
  </si>
  <si>
    <t>4 Mile</t>
  </si>
  <si>
    <t>5 Mile</t>
  </si>
  <si>
    <t>10 Miles</t>
  </si>
  <si>
    <t>25k</t>
  </si>
  <si>
    <t>30k</t>
  </si>
  <si>
    <t>50k</t>
  </si>
  <si>
    <t>miles</t>
  </si>
  <si>
    <t>Adjusted Time</t>
  </si>
  <si>
    <t>Performance is not adversely affected at 60° or lower.</t>
  </si>
  <si>
    <t xml:space="preserve">Distance in Miles --&gt; </t>
  </si>
  <si>
    <t>(Yes, as of the completion of this worksheet, I do weigh 195 lbs with an extimated VDOT score of 44…..   Feel my pain!)</t>
  </si>
  <si>
    <t>Weight Increment:</t>
  </si>
  <si>
    <t>5 km</t>
  </si>
  <si>
    <t>8 km</t>
  </si>
  <si>
    <t>10 km</t>
  </si>
  <si>
    <t>12 km</t>
  </si>
  <si>
    <t>15 km</t>
  </si>
  <si>
    <t>Points Grid</t>
  </si>
  <si>
    <t>Intensity</t>
  </si>
  <si>
    <t>Adjusted VDOT</t>
  </si>
  <si>
    <t>Estimated Time</t>
  </si>
  <si>
    <t>Temperature</t>
  </si>
  <si>
    <t>I assume a similar slowdown is experienced for all racing distances.</t>
  </si>
  <si>
    <t xml:space="preserve">In all cases, I worked up factors which closely approximate the results found in the tables in Daniels'  books. </t>
  </si>
  <si>
    <t>and has the option of calculating for US/Imperial or Metric distances.</t>
  </si>
  <si>
    <t>Zone / Distance</t>
  </si>
  <si>
    <t>Estimated Times &amp; Pace are +/- 2 seconds per mile</t>
  </si>
  <si>
    <t>Points</t>
  </si>
  <si>
    <t>Age</t>
  </si>
  <si>
    <t xml:space="preserve">Age: </t>
  </si>
  <si>
    <t>FactorM</t>
  </si>
  <si>
    <t>FactorF</t>
  </si>
  <si>
    <t>Projected Weight</t>
  </si>
  <si>
    <t>Male</t>
  </si>
  <si>
    <t>Female</t>
  </si>
  <si>
    <t>Non-Active</t>
  </si>
  <si>
    <t>Long Dist Runner</t>
  </si>
  <si>
    <t>Middle Dist Runner</t>
  </si>
  <si>
    <t>(12% Below Average)</t>
  </si>
  <si>
    <t>(15% Below Average)</t>
  </si>
  <si>
    <t>Body Mass Index (BMI)</t>
  </si>
  <si>
    <t>Absolute VO2max</t>
  </si>
  <si>
    <t>VDOT</t>
  </si>
  <si>
    <t xml:space="preserve">Perhaps he found that performance loss due to heat was too variable to accurately predict. What ever the reason, I still find it interesting to have some idea how high </t>
  </si>
  <si>
    <t xml:space="preserve">temperatures affect running performance, even if the table results have a potential for a high degree of variability or error. I'm not saying for sure there is a lot of error, </t>
  </si>
  <si>
    <t xml:space="preserve">but Daniels must have had some reason for omitting this table in the 2nd edition.  Daniels references durations representing marathon times in his table.  </t>
  </si>
  <si>
    <t>Average Adult</t>
  </si>
  <si>
    <t>&gt;25</t>
  </si>
  <si>
    <t>&lt;18.5</t>
  </si>
  <si>
    <t>Too Thin</t>
  </si>
  <si>
    <t>OvrWeight</t>
  </si>
  <si>
    <t>BMI Range</t>
  </si>
  <si>
    <t>World Masters Association (WMA - Formerly WAVA) - Maintain and update WMA Age Graded Tables. &lt;http://www.world-masters-athletics.org&gt;</t>
  </si>
  <si>
    <t>and running economy are equal among all runners. Of course, this isn't the case. However, for establishing racing and training intensities, VDOT's normalized</t>
  </si>
  <si>
    <t>factors work very well.To fully understand the concepts behind VDOT, and for excellent overall training insight, I highly recommend picking up a copy of Daniels' book.</t>
  </si>
  <si>
    <t>Quick Converter</t>
  </si>
  <si>
    <t>US to Metric</t>
  </si>
  <si>
    <t>Metric to US</t>
  </si>
  <si>
    <t>A Collection of Jack Daniels' Related Guidelines (&amp; Other Tools)</t>
  </si>
  <si>
    <t xml:space="preserve">   Dr. Stillman's Weight Guidelines</t>
  </si>
  <si>
    <t>VDOT if I Now Weighed --&gt;</t>
  </si>
  <si>
    <t>Runner X</t>
  </si>
  <si>
    <t>Absolute VO2max (in Liters) = weight in kg x VDOT / 1000</t>
  </si>
  <si>
    <t>%VO2max</t>
  </si>
  <si>
    <t>Meters</t>
  </si>
  <si>
    <t>Approx Distance</t>
  </si>
  <si>
    <t>20 min run at Threshold Pace - Longer runs adjusted for proper intensity.</t>
  </si>
  <si>
    <t>vs Age</t>
  </si>
  <si>
    <t>Pace Calculator</t>
  </si>
  <si>
    <t>MtoF_Fact</t>
  </si>
  <si>
    <t>Fastest Ages</t>
  </si>
  <si>
    <t>Age/Sex Grading</t>
  </si>
  <si>
    <t>projected race times (Pete Riegel's formula). Therefore, the race time proections in this worksheet will not match the race times in Mr. Daniels VDOT tables exactly, but do trend</t>
  </si>
  <si>
    <t>very closely.  Daniels' VDOT is a sort of normalized representation of relative VO2max. VDOT values were derived with the assumption that aerobic capacity, lactate threshold,</t>
  </si>
  <si>
    <t>IAAF</t>
  </si>
  <si>
    <t>RuningUSA</t>
  </si>
  <si>
    <t>Racing Statistics</t>
  </si>
  <si>
    <t>ARRS</t>
  </si>
  <si>
    <t>M: 23-27 /  F: 21-28</t>
  </si>
  <si>
    <t>Totals</t>
  </si>
  <si>
    <t>Miles</t>
  </si>
  <si>
    <t>Percent</t>
  </si>
  <si>
    <t xml:space="preserve">Race </t>
  </si>
  <si>
    <t xml:space="preserve">Long Run </t>
  </si>
  <si>
    <t xml:space="preserve">Intervals </t>
  </si>
  <si>
    <t xml:space="preserve">Repititions </t>
  </si>
  <si>
    <t xml:space="preserve"> Marathon Pace</t>
  </si>
  <si>
    <t>%HRmax</t>
  </si>
  <si>
    <t>80-89%</t>
  </si>
  <si>
    <t>88-92%</t>
  </si>
  <si>
    <t>95-100%</t>
  </si>
  <si>
    <t>Weekly Intensity Distribution</t>
  </si>
  <si>
    <t>Subtract</t>
  </si>
  <si>
    <t>More training points per minute are given to workouts as the intensity  increases. The faster and/or longer the workout, the more points are accumulated.</t>
  </si>
  <si>
    <t>This allows comparison of relative workloads of the various types of workouts, and provides a means of tracking combined intensity over weekly or monthly training periods.</t>
  </si>
  <si>
    <t>the effort level of the workout (either in terms of training heart rate or pace).</t>
  </si>
  <si>
    <t>Top 3 are Daniels' R, I, and T Paces - Bottom 3 are Generic 1 Mile, 5k, and 10k Paced Intervals</t>
  </si>
  <si>
    <t>Finish Time Calculator</t>
  </si>
  <si>
    <t>Pace/mi</t>
  </si>
  <si>
    <t>Km</t>
  </si>
  <si>
    <t>Pace/km</t>
  </si>
  <si>
    <t>My Peak (17:55 5k 1986)</t>
  </si>
  <si>
    <t>70-75%</t>
  </si>
  <si>
    <t>65-70%</t>
  </si>
  <si>
    <t>70-79%</t>
  </si>
  <si>
    <t>Tempo / Cruise</t>
  </si>
  <si>
    <t>Long Run</t>
  </si>
  <si>
    <t>Hills</t>
  </si>
  <si>
    <t>Aerobic Zone</t>
  </si>
  <si>
    <t xml:space="preserve">These fields may be edited to days of the week, if preferred. </t>
  </si>
  <si>
    <t>Run Type</t>
  </si>
  <si>
    <t>Race Pace</t>
  </si>
  <si>
    <t>warm-up, an aerobic zone piece, and a marathon or LT paced piece. The worksheet uses the total of all components to calculate the long run percentage of weekly total mileage.</t>
  </si>
  <si>
    <t xml:space="preserve">Long Run Options: List entire run in Aerobic Zone, or list separate components --&gt;  </t>
  </si>
  <si>
    <t>Absolute VO2max Calculated from VDOT (Daniels)</t>
  </si>
  <si>
    <t>2nd edition</t>
  </si>
  <si>
    <t>1st edition</t>
  </si>
  <si>
    <t>Add Time</t>
  </si>
  <si>
    <t>(mm:ss)</t>
  </si>
  <si>
    <t>Open Std:</t>
  </si>
  <si>
    <t>WarmUp / Recovery</t>
  </si>
  <si>
    <t>20k</t>
  </si>
  <si>
    <t>Hypothetical best time</t>
  </si>
  <si>
    <t>humanly possible at</t>
  </si>
  <si>
    <t>MWA Age Grade 2006</t>
  </si>
  <si>
    <t>WMA Open Std Times 2006</t>
  </si>
  <si>
    <t>HRmax:</t>
  </si>
  <si>
    <t>Distance:</t>
  </si>
  <si>
    <t>age:</t>
  </si>
  <si>
    <t>Free Form VDOT Calculator</t>
  </si>
  <si>
    <t>Endurance</t>
  </si>
  <si>
    <t>Speed</t>
  </si>
  <si>
    <t xml:space="preserve">male or female.  This info doesn't come from Daniels, but it can be fun to compare your times with runners of different ages, your former self, and/or members of the opposite sex, </t>
  </si>
  <si>
    <t>to see who  *really* ran the best effort!  I averaged factors across all distances for each 1 year age division, rather than using the entire data field from the 2006 WMA tables.</t>
  </si>
  <si>
    <t>Top Elite Male Runner</t>
  </si>
  <si>
    <t>mile split time, then set the multiplier to some number of desired miles. A total time for the distance will then be calculated. This works even with decimal values such as 6.2 or 26.2!</t>
  </si>
  <si>
    <t>To change the multiplier just enter the new factor, the x symbol shows by default. As a reminder, the multiplier turns red anytime it is set to a value other than 1.0.</t>
  </si>
  <si>
    <t xml:space="preserve">basic guidelines for the length or duration of each type of workout. Since not everyone runs the same types of workouts on the same days, a Day 1, Day 2, etc convention is used. </t>
  </si>
  <si>
    <t>age factors to the Open Standard (World Record) as recorded in the 2006 WMA Age Grading Tables. Achieving close to this time would represent an Elite level perfomance effort.</t>
  </si>
  <si>
    <t>Best time possible at</t>
  </si>
  <si>
    <t>Open Class Equivalent</t>
  </si>
  <si>
    <t>Age Graded Time</t>
  </si>
  <si>
    <t>Time Difference</t>
  </si>
  <si>
    <t>&amp; Aerobic</t>
  </si>
  <si>
    <t>&amp; Strength</t>
  </si>
  <si>
    <t>&amp; Races</t>
  </si>
  <si>
    <t>Combined Adjusted Time</t>
  </si>
  <si>
    <t>Distance is Irrelevant</t>
  </si>
  <si>
    <t>Compare to</t>
  </si>
  <si>
    <t>Weight Change</t>
  </si>
  <si>
    <t>Baseline Time</t>
  </si>
  <si>
    <t>recommended healthy weight for that scale) is the "ideal weight" for runners, and that the user would not lose any aerobic capacity or strength if they dropped down to that.</t>
  </si>
  <si>
    <t>Users should not place ultimate faith in these results. The intention is to give some general insight into potential max performance.</t>
  </si>
  <si>
    <r>
      <t xml:space="preserve">The </t>
    </r>
    <r>
      <rPr>
        <b/>
        <sz val="10"/>
        <rFont val="Arial"/>
        <family val="2"/>
      </rPr>
      <t xml:space="preserve">Age Graded Time </t>
    </r>
    <r>
      <rPr>
        <sz val="10"/>
        <rFont val="Arial"/>
        <family val="0"/>
      </rPr>
      <t>table calculates an equivalent time for a 25 year old open class runner with a BMI of 18.5 competing under optimal conditions.</t>
    </r>
  </si>
  <si>
    <t xml:space="preserve">Distance in Meters --&gt; </t>
  </si>
  <si>
    <t>Tempo</t>
  </si>
  <si>
    <t>Steady</t>
  </si>
  <si>
    <t>Easy</t>
  </si>
  <si>
    <t>Long</t>
  </si>
  <si>
    <t>3k - 8k</t>
  </si>
  <si>
    <t>8k - 12k</t>
  </si>
  <si>
    <t>10k - 15k</t>
  </si>
  <si>
    <t>12k - 1/2m</t>
  </si>
  <si>
    <t>1/2m - 30k</t>
  </si>
  <si>
    <t>MP+30-60</t>
  </si>
  <si>
    <t>MP+30-90</t>
  </si>
  <si>
    <t>McMillanRunning.com</t>
  </si>
  <si>
    <t>Anaerobic Int</t>
  </si>
  <si>
    <t>Aerobic Int</t>
  </si>
  <si>
    <t>Cruise Int</t>
  </si>
  <si>
    <t>Tempo Int</t>
  </si>
  <si>
    <t>http://www.mcmillanrunning.com</t>
  </si>
  <si>
    <r>
      <t xml:space="preserve">McMillan, Greg. </t>
    </r>
    <r>
      <rPr>
        <u val="single"/>
        <sz val="10"/>
        <rFont val="Arial"/>
        <family val="2"/>
      </rPr>
      <t>McMillan's 6 Step Training System - Step #4: The 12 Key Workouts</t>
    </r>
    <r>
      <rPr>
        <sz val="10"/>
        <rFont val="Arial"/>
        <family val="0"/>
      </rPr>
      <t xml:space="preserve">. McMillan Running Company, Inc. Copyright © 2006 </t>
    </r>
  </si>
  <si>
    <t>http://www.mcmillanrunning.com/training4.htm</t>
  </si>
  <si>
    <t xml:space="preserve">Web Page Cited - </t>
  </si>
  <si>
    <t>for comparison. The race distance ranges defining each training type are quoted directly from McMillan's site. However, due to differences in race pace calculation methods,</t>
  </si>
  <si>
    <t xml:space="preserve">Daniels' Calculated % of VO2max --&gt; </t>
  </si>
  <si>
    <t>Time fields must be h:mm:ss format</t>
  </si>
  <si>
    <t>This worksheet developed by Herman Nieuwendaal - herm@electricblues.com - 06/02/2006</t>
  </si>
  <si>
    <t xml:space="preserve">Dated: </t>
  </si>
  <si>
    <t xml:space="preserve">Download the latest version at: </t>
  </si>
  <si>
    <t>Pace/Speed Conversions</t>
  </si>
  <si>
    <r>
      <t xml:space="preserve">The </t>
    </r>
    <r>
      <rPr>
        <b/>
        <sz val="9"/>
        <rFont val="Arial"/>
        <family val="2"/>
      </rPr>
      <t xml:space="preserve">Weight Change and Temperature </t>
    </r>
    <r>
      <rPr>
        <sz val="9"/>
        <rFont val="Arial"/>
        <family val="2"/>
      </rPr>
      <t xml:space="preserve">tables calculate approximate time adustments for projected weight differences and race temperatures greater than 60 degrees fahrenheit. </t>
    </r>
  </si>
  <si>
    <t>Extended Projection Table</t>
  </si>
  <si>
    <t>Because the race time projection components of Daniels' formulas have proven to be too difficult for me to master, I am forced to use another projection model to calculate</t>
  </si>
  <si>
    <t xml:space="preserve">Below the Extended Projection Table is the Adjusted Time Section. The Baseline Time defaults to the Entry Time at the top of the sheet, but can be overwritten with any time value. </t>
  </si>
  <si>
    <t>Riegel, Pete. Developed the race time projection model used in this worksheet.  T2=T1*(D2/D1)^1.06</t>
  </si>
  <si>
    <t>Rest HR:</t>
  </si>
  <si>
    <t>% of HR Reserve</t>
  </si>
  <si>
    <t>Birthdate:</t>
  </si>
  <si>
    <r>
      <t xml:space="preserve">Valid age range is between 5 and 100. </t>
    </r>
    <r>
      <rPr>
        <b/>
        <sz val="7"/>
        <rFont val="Arial"/>
        <family val="2"/>
      </rPr>
      <t>Age =</t>
    </r>
  </si>
  <si>
    <t>Valid Age?</t>
  </si>
  <si>
    <t>LT Pace:</t>
  </si>
  <si>
    <r>
      <t>Instructions</t>
    </r>
    <r>
      <rPr>
        <b/>
        <sz val="9"/>
        <rFont val="Arial"/>
        <family val="2"/>
      </rPr>
      <t>:</t>
    </r>
  </si>
  <si>
    <r>
      <t xml:space="preserve">Using only that information, a fitness adjusted </t>
    </r>
    <r>
      <rPr>
        <b/>
        <sz val="9"/>
        <rFont val="Arial"/>
        <family val="2"/>
      </rPr>
      <t>training heart rate</t>
    </r>
    <r>
      <rPr>
        <sz val="9"/>
        <rFont val="Arial"/>
        <family val="2"/>
      </rPr>
      <t xml:space="preserve"> profile along with accompanying </t>
    </r>
    <r>
      <rPr>
        <b/>
        <sz val="9"/>
        <rFont val="Arial"/>
        <family val="2"/>
      </rPr>
      <t>training / racing paces</t>
    </r>
    <r>
      <rPr>
        <sz val="9"/>
        <rFont val="Arial"/>
        <family val="2"/>
      </rPr>
      <t xml:space="preserve"> are calculated.</t>
    </r>
  </si>
  <si>
    <r>
      <t xml:space="preserve">The </t>
    </r>
    <r>
      <rPr>
        <b/>
        <sz val="9"/>
        <rFont val="Arial"/>
        <family val="2"/>
      </rPr>
      <t>Intensigy Points Grid</t>
    </r>
    <r>
      <rPr>
        <sz val="9"/>
        <rFont val="Arial"/>
        <family val="2"/>
      </rPr>
      <t xml:space="preserve"> provides a method of quantifying the stress or workload of a particular workout type across a wide range of pace and durations.</t>
    </r>
  </si>
  <si>
    <r>
      <t>Intensity Point</t>
    </r>
    <r>
      <rPr>
        <sz val="9"/>
        <rFont val="Arial"/>
        <family val="2"/>
      </rPr>
      <t xml:space="preserve"> calculations are based on data taken from Jack Daniels' Intensity Training Table (Table 2.2) from "Daniels' Running Formula, </t>
    </r>
    <r>
      <rPr>
        <b/>
        <sz val="9"/>
        <rFont val="Arial"/>
        <family val="2"/>
      </rPr>
      <t>2nd Edition</t>
    </r>
    <r>
      <rPr>
        <sz val="9"/>
        <rFont val="Arial"/>
        <family val="2"/>
      </rPr>
      <t>".</t>
    </r>
  </si>
  <si>
    <r>
      <t xml:space="preserve">To find the </t>
    </r>
    <r>
      <rPr>
        <b/>
        <sz val="9"/>
        <rFont val="Arial"/>
        <family val="2"/>
      </rPr>
      <t>Intensity Points</t>
    </r>
    <r>
      <rPr>
        <sz val="9"/>
        <rFont val="Arial"/>
        <family val="2"/>
      </rPr>
      <t xml:space="preserve"> for a workout (or portion of a workout), find the miles on the left side of the Intensity Table, then look across that row to the column that reflects </t>
    </r>
  </si>
  <si>
    <r>
      <t xml:space="preserve">The </t>
    </r>
    <r>
      <rPr>
        <b/>
        <sz val="9"/>
        <rFont val="Arial"/>
        <family val="2"/>
      </rPr>
      <t>Tempo Pace, Impact of Temperarture, and Impact of Weight</t>
    </r>
    <r>
      <rPr>
        <sz val="9"/>
        <rFont val="Arial"/>
        <family val="2"/>
      </rPr>
      <t xml:space="preserve"> sections are also derived from informaiton courtesy of Mr Daniels. </t>
    </r>
  </si>
  <si>
    <r>
      <t xml:space="preserve">Using data from Table 7.1 in Daniels' 2nd Edition, the </t>
    </r>
    <r>
      <rPr>
        <b/>
        <sz val="9"/>
        <rFont val="Arial"/>
        <family val="2"/>
      </rPr>
      <t>Tempo Pace table</t>
    </r>
    <r>
      <rPr>
        <sz val="9"/>
        <rFont val="Arial"/>
        <family val="2"/>
      </rPr>
      <t xml:space="preserve"> starts with a baseline 20 minute </t>
    </r>
    <r>
      <rPr>
        <b/>
        <sz val="9"/>
        <rFont val="Arial"/>
        <family val="2"/>
      </rPr>
      <t>Threshold Pace</t>
    </r>
    <r>
      <rPr>
        <sz val="9"/>
        <rFont val="Arial"/>
        <family val="2"/>
      </rPr>
      <t xml:space="preserve"> run</t>
    </r>
    <r>
      <rPr>
        <sz val="9"/>
        <rFont val="Arial"/>
        <family val="2"/>
      </rPr>
      <t xml:space="preserve"> and adjusts the pace for </t>
    </r>
    <r>
      <rPr>
        <b/>
        <sz val="9"/>
        <rFont val="Arial"/>
        <family val="2"/>
      </rPr>
      <t>Tempo Runs</t>
    </r>
  </si>
  <si>
    <r>
      <t xml:space="preserve">ranging from 25 to 60 minutes. </t>
    </r>
    <r>
      <rPr>
        <b/>
        <sz val="9"/>
        <rFont val="Arial"/>
        <family val="2"/>
      </rPr>
      <t>Tempo paces</t>
    </r>
    <r>
      <rPr>
        <sz val="9"/>
        <rFont val="Arial"/>
        <family val="2"/>
      </rPr>
      <t xml:space="preserve"> shown are appropriate for the fitness level indicated by the race distance &amp; time entered at the top of the worsheet.</t>
    </r>
  </si>
  <si>
    <r>
      <t xml:space="preserve">The </t>
    </r>
    <r>
      <rPr>
        <b/>
        <sz val="9"/>
        <rFont val="Arial"/>
        <family val="2"/>
      </rPr>
      <t>Interval Split Times Calculator</t>
    </r>
    <r>
      <rPr>
        <sz val="9"/>
        <rFont val="Arial"/>
        <family val="2"/>
      </rPr>
      <t xml:space="preserve"> below the Tempo Pace Chart calculates even split times for key Interval training paces, </t>
    </r>
  </si>
  <si>
    <r>
      <t xml:space="preserve">The </t>
    </r>
    <r>
      <rPr>
        <b/>
        <sz val="9"/>
        <rFont val="Arial"/>
        <family val="2"/>
      </rPr>
      <t>McMilanRunning.com Training Range Guidelines</t>
    </r>
    <r>
      <rPr>
        <sz val="9"/>
        <rFont val="Arial"/>
        <family val="2"/>
      </rPr>
      <t xml:space="preserve"> table outlines Greg McMillan's training ranges, and provides an alternative set of guidelines from a professional source</t>
    </r>
  </si>
  <si>
    <r>
      <t xml:space="preserve">The </t>
    </r>
    <r>
      <rPr>
        <b/>
        <sz val="9"/>
        <rFont val="Arial"/>
        <family val="2"/>
      </rPr>
      <t>Adverse Impact of Temperature</t>
    </r>
    <r>
      <rPr>
        <sz val="9"/>
        <rFont val="Arial"/>
        <family val="2"/>
      </rPr>
      <t xml:space="preserve"> table calculations are extracted from Table 10.1 in the 1st Edition of Daniels' book. This table was omitted in Daniels' 2nd Edition.</t>
    </r>
  </si>
  <si>
    <r>
      <t xml:space="preserve">The </t>
    </r>
    <r>
      <rPr>
        <b/>
        <sz val="9"/>
        <rFont val="Arial"/>
        <family val="2"/>
      </rPr>
      <t>Projected Impact of Weight</t>
    </r>
    <r>
      <rPr>
        <sz val="9"/>
        <rFont val="Arial"/>
        <family val="2"/>
      </rPr>
      <t xml:space="preserve"> calculation comes from information from Daniels and Gilbert's "Oxygen Power" booklet, published in 1979.</t>
    </r>
  </si>
  <si>
    <r>
      <t xml:space="preserve">The formula is; </t>
    </r>
    <r>
      <rPr>
        <i/>
        <sz val="9"/>
        <rFont val="Arial"/>
        <family val="2"/>
      </rPr>
      <t>current weight times current VDOT divided by projected weight = projected VDOT</t>
    </r>
    <r>
      <rPr>
        <sz val="9"/>
        <rFont val="Arial"/>
        <family val="2"/>
      </rPr>
      <t>. A few pounds can make quite a difference!</t>
    </r>
  </si>
  <si>
    <r>
      <t>Continuing down are a couple tables for analyzing appropriate and healthy weight ranges (</t>
    </r>
    <r>
      <rPr>
        <b/>
        <sz val="9"/>
        <rFont val="Arial"/>
        <family val="2"/>
      </rPr>
      <t>BMI and Dr Stillman guidelines</t>
    </r>
    <r>
      <rPr>
        <sz val="9"/>
        <rFont val="Arial"/>
        <family val="2"/>
      </rPr>
      <t xml:space="preserve">), and a table of </t>
    </r>
    <r>
      <rPr>
        <b/>
        <sz val="9"/>
        <rFont val="Arial"/>
        <family val="2"/>
      </rPr>
      <t>Absolute VO2max calculations.</t>
    </r>
  </si>
  <si>
    <r>
      <t xml:space="preserve">The last table going down is the </t>
    </r>
    <r>
      <rPr>
        <b/>
        <sz val="9"/>
        <rFont val="Arial"/>
        <family val="2"/>
      </rPr>
      <t>Intensity Distribution Table</t>
    </r>
    <r>
      <rPr>
        <sz val="9"/>
        <rFont val="Arial"/>
        <family val="2"/>
      </rPr>
      <t>, used to calculate by what percentage each type of training contributes to total weekly mileage. Too much speed / quality</t>
    </r>
  </si>
  <si>
    <r>
      <t xml:space="preserve">work invites burnout and/or injury.  This table is designed to help develop a balanced distribution of the various types of training. Cursor over the </t>
    </r>
    <r>
      <rPr>
        <b/>
        <sz val="9"/>
        <rFont val="Arial"/>
        <family val="2"/>
      </rPr>
      <t>Run Type Names</t>
    </r>
    <r>
      <rPr>
        <sz val="9"/>
        <rFont val="Arial"/>
        <family val="2"/>
      </rPr>
      <t xml:space="preserve"> in the table to see</t>
    </r>
  </si>
  <si>
    <r>
      <t>Long runs</t>
    </r>
    <r>
      <rPr>
        <sz val="9"/>
        <rFont val="Arial"/>
        <family val="2"/>
      </rPr>
      <t xml:space="preserve"> are entered in the last column. </t>
    </r>
    <r>
      <rPr>
        <b/>
        <sz val="9"/>
        <rFont val="Arial"/>
        <family val="2"/>
      </rPr>
      <t>Long Run mileage</t>
    </r>
    <r>
      <rPr>
        <sz val="9"/>
        <rFont val="Arial"/>
        <family val="2"/>
      </rPr>
      <t xml:space="preserve"> may be entered all in the </t>
    </r>
    <r>
      <rPr>
        <b/>
        <sz val="9"/>
        <rFont val="Arial"/>
        <family val="2"/>
      </rPr>
      <t>Aerobic Zone</t>
    </r>
    <r>
      <rPr>
        <sz val="9"/>
        <rFont val="Arial"/>
        <family val="2"/>
      </rPr>
      <t xml:space="preserve"> field, or it may be entered as a combination of different components, such as a </t>
    </r>
  </si>
  <si>
    <r>
      <t xml:space="preserve">To the right of the these tables is the </t>
    </r>
    <r>
      <rPr>
        <b/>
        <sz val="9"/>
        <rFont val="Arial"/>
        <family val="2"/>
      </rPr>
      <t>Add &amp; Subtract Time</t>
    </r>
    <r>
      <rPr>
        <sz val="9"/>
        <rFont val="Arial"/>
        <family val="2"/>
      </rPr>
      <t xml:space="preserve"> calculator. The pace averaging calculation within the Add section is intended for use when all splits are of equal distance,</t>
    </r>
  </si>
  <si>
    <r>
      <t xml:space="preserve">but will average any combination of times. The </t>
    </r>
    <r>
      <rPr>
        <b/>
        <sz val="9"/>
        <rFont val="Arial"/>
        <family val="2"/>
      </rPr>
      <t>Multiplier</t>
    </r>
    <r>
      <rPr>
        <sz val="9"/>
        <rFont val="Arial"/>
        <family val="2"/>
      </rPr>
      <t xml:space="preserve"> (default is x1.0) can be used to multiply one or more entries by any desired factor.  One use for this would be to enter a one</t>
    </r>
  </si>
  <si>
    <r>
      <t xml:space="preserve">To the right of the Time Addition/Subbtration calculator  is the </t>
    </r>
    <r>
      <rPr>
        <b/>
        <sz val="9"/>
        <rFont val="Arial"/>
        <family val="2"/>
      </rPr>
      <t>Extended Projection Table</t>
    </r>
    <r>
      <rPr>
        <sz val="9"/>
        <rFont val="Arial"/>
        <family val="2"/>
      </rPr>
      <t xml:space="preserve">, a more complete listing of race time Projections for various distances. Included is a </t>
    </r>
  </si>
  <si>
    <r>
      <t>WMA Age/Sex Grading Table</t>
    </r>
    <r>
      <rPr>
        <sz val="9"/>
        <rFont val="Arial"/>
        <family val="2"/>
      </rPr>
      <t xml:space="preserve"> of equivalent race efforts. Both the base age and comparison age (vs Age)  can be edited to any age between 5 and 100, and designated as either</t>
    </r>
  </si>
  <si>
    <r>
      <t>Therefore, these results likely differ somewhat from other MWA / WAVA calculators. (</t>
    </r>
    <r>
      <rPr>
        <b/>
        <sz val="9"/>
        <rFont val="Arial"/>
        <family val="2"/>
      </rPr>
      <t>MWA - World Masters Athletics</t>
    </r>
    <r>
      <rPr>
        <sz val="9"/>
        <rFont val="Arial"/>
        <family val="2"/>
      </rPr>
      <t>, formerly WAVA -World Association of Veteran Athletes )</t>
    </r>
  </si>
  <si>
    <r>
      <t xml:space="preserve">The </t>
    </r>
    <r>
      <rPr>
        <b/>
        <sz val="9"/>
        <rFont val="Arial"/>
        <family val="2"/>
      </rPr>
      <t>Combined Adjusted Time</t>
    </r>
    <r>
      <rPr>
        <sz val="9"/>
        <rFont val="Arial"/>
        <family val="2"/>
      </rPr>
      <t xml:space="preserve"> table adds all or any combination of adjustments to the intial time. Note that distance is irrelevant for these calculations.</t>
    </r>
  </si>
  <si>
    <r>
      <t xml:space="preserve">The </t>
    </r>
    <r>
      <rPr>
        <b/>
        <sz val="9"/>
        <rFont val="Arial"/>
        <family val="2"/>
      </rPr>
      <t xml:space="preserve">Peak Potential </t>
    </r>
    <r>
      <rPr>
        <sz val="9"/>
        <rFont val="Arial"/>
        <family val="2"/>
      </rPr>
      <t xml:space="preserve">table allows users to ponder a </t>
    </r>
    <r>
      <rPr>
        <b/>
        <i/>
        <sz val="9"/>
        <rFont val="Arial"/>
        <family val="2"/>
      </rPr>
      <t>hypothetical</t>
    </r>
    <r>
      <rPr>
        <sz val="9"/>
        <rFont val="Arial"/>
        <family val="2"/>
      </rPr>
      <t xml:space="preserve"> maximum potential at their current age and weight. The calculation is made by applying the user's BMI and</t>
    </r>
  </si>
  <si>
    <r>
      <t xml:space="preserve">I make some general assupmtions for the </t>
    </r>
    <r>
      <rPr>
        <b/>
        <sz val="9"/>
        <rFont val="Arial"/>
        <family val="2"/>
      </rPr>
      <t>Adjusted Time</t>
    </r>
    <r>
      <rPr>
        <sz val="9"/>
        <rFont val="Arial"/>
        <family val="2"/>
      </rPr>
      <t xml:space="preserve"> and </t>
    </r>
    <r>
      <rPr>
        <b/>
        <sz val="9"/>
        <rFont val="Arial"/>
        <family val="2"/>
      </rPr>
      <t xml:space="preserve">Peak Potential </t>
    </r>
    <r>
      <rPr>
        <sz val="9"/>
        <rFont val="Arial"/>
        <family val="2"/>
      </rPr>
      <t>calcs that wil not be universally correct, such as the assumption that a BMI of 18.5 (the minimum</t>
    </r>
  </si>
  <si>
    <r>
      <t xml:space="preserve">The remaining tables in the lower right section provide various miscellaneous calculations and </t>
    </r>
    <r>
      <rPr>
        <b/>
        <sz val="9"/>
        <rFont val="Arial"/>
        <family val="2"/>
      </rPr>
      <t>US to metric / metric to US measurement conversions</t>
    </r>
    <r>
      <rPr>
        <sz val="9"/>
        <rFont val="Arial"/>
        <family val="2"/>
      </rPr>
      <t>.</t>
    </r>
  </si>
  <si>
    <t>Intensity Points Calculator</t>
  </si>
  <si>
    <t>Factor</t>
  </si>
  <si>
    <t>HeartRate</t>
  </si>
  <si>
    <t>h:mm:ss</t>
  </si>
  <si>
    <t>Heart Rate</t>
  </si>
  <si>
    <t>Points Factors</t>
  </si>
  <si>
    <t>College - 150</t>
  </si>
  <si>
    <t>Elite - 200</t>
  </si>
  <si>
    <t>Novice High School - 50</t>
  </si>
  <si>
    <t>Advanced High School - 100</t>
  </si>
  <si>
    <t>Joe Friel</t>
  </si>
  <si>
    <r>
      <t xml:space="preserve">Zones </t>
    </r>
    <r>
      <rPr>
        <sz val="8"/>
        <rFont val="Arial"/>
        <family val="2"/>
      </rPr>
      <t>(Based on Lactate Threshold - LT)</t>
    </r>
  </si>
  <si>
    <t>Zone 1</t>
  </si>
  <si>
    <t>Zone 2</t>
  </si>
  <si>
    <t>Zone 3</t>
  </si>
  <si>
    <t>Zone 4</t>
  </si>
  <si>
    <t>Zone 5a</t>
  </si>
  <si>
    <t>Zone 5b</t>
  </si>
  <si>
    <t>Zone 5c</t>
  </si>
  <si>
    <t>Zones by Heart Rate</t>
  </si>
  <si>
    <t>Calc LTHR</t>
  </si>
  <si>
    <t>Calc FTPa</t>
  </si>
  <si>
    <t xml:space="preserve"> </t>
  </si>
  <si>
    <t>Mode</t>
  </si>
  <si>
    <t xml:space="preserve">       3 - Distance &amp; Pace</t>
  </si>
  <si>
    <t xml:space="preserve">       4 - Time &amp; Heart Rate</t>
  </si>
  <si>
    <t xml:space="preserve">   1 - Time &amp; Distance</t>
  </si>
  <si>
    <t xml:space="preserve">   2 - Time &amp; Pace</t>
  </si>
  <si>
    <r>
      <t xml:space="preserve">The </t>
    </r>
    <r>
      <rPr>
        <b/>
        <sz val="9"/>
        <rFont val="Arial"/>
        <family val="2"/>
      </rPr>
      <t>Joe Friel Training Zone Guidelines</t>
    </r>
    <r>
      <rPr>
        <sz val="9"/>
        <rFont val="Arial"/>
        <family val="2"/>
      </rPr>
      <t xml:space="preserve"> table outlines Joe Friel's training Zones, and provides a 2nd alternative set of guidelines from a professional source</t>
    </r>
  </si>
  <si>
    <t>for comparison. The formulas for this section are based on the information on Joe's "Quick Guide to Training with Heart Rate, Power and Pace".</t>
  </si>
  <si>
    <t>If you do Joe's 30 minute test to determine your actual LTHR or FTPa, you can override the defaults with your actuals.</t>
  </si>
  <si>
    <t>The worksheet uses 90% of Heart Rate max for the default LTHR, and the calculated Lactate Threshold Pace as the default FTPa.</t>
  </si>
  <si>
    <t>These paces are apprimations, not an exact match.</t>
  </si>
  <si>
    <t>the actual pace ranges are only approximations and do not exactly match those on McMillan's site.</t>
  </si>
  <si>
    <t>The calculator operates in 4 different modes: Time and Distance, Time and Pace, Distance and Pace, and Time and Heart Rate.</t>
  </si>
  <si>
    <t>Select the preferred mode by entering the appropriate number (1 through 4) in the Mode Entry Box.</t>
  </si>
  <si>
    <t>http://www.joefrielsblog.com/</t>
  </si>
  <si>
    <t>Joe Friel's Quick Guide to Training with Heart Rate, Power and Pace</t>
  </si>
  <si>
    <r>
      <t xml:space="preserve">Friel, Joe. Quick </t>
    </r>
    <r>
      <rPr>
        <u val="single"/>
        <sz val="10"/>
        <rFont val="Arial"/>
        <family val="2"/>
      </rPr>
      <t>Guide to Training with Heart Rate, Power and Pace</t>
    </r>
    <r>
      <rPr>
        <sz val="10"/>
        <rFont val="Arial"/>
        <family val="0"/>
      </rPr>
      <t>.</t>
    </r>
  </si>
  <si>
    <t>LT HR:</t>
  </si>
  <si>
    <r>
      <t>Daniels' Training Tables</t>
    </r>
    <r>
      <rPr>
        <sz val="8"/>
        <rFont val="Arial"/>
        <family val="2"/>
      </rPr>
      <t xml:space="preserve"> Rev3.0.00</t>
    </r>
  </si>
  <si>
    <t xml:space="preserve">Heart Rate Tweak </t>
  </si>
  <si>
    <t>3. Aggressive</t>
  </si>
  <si>
    <t>1. Moderate   2. Advanced</t>
  </si>
  <si>
    <t xml:space="preserve"> Training Range Guideline Approximations</t>
  </si>
  <si>
    <t xml:space="preserve"> Training Zone Approximations</t>
  </si>
  <si>
    <t>a Heart Rate Tweak option. This option allows modeling the Heart Rate scale in three different modes;  Moderate, Advanced, and Aggressive. Some runners find they can maintain</t>
  </si>
  <si>
    <t>higher heart rates at the given race distances than the default model suggests. Those runners may find the Advanced or Aggressive modes a better match. If you're not sure about</t>
  </si>
  <si>
    <t>The Intesity section is rather large, and can be hidden if you're not interested in seeing this info all the time.</t>
  </si>
  <si>
    <r>
      <t xml:space="preserve">You'll notice a small </t>
    </r>
    <r>
      <rPr>
        <b/>
        <sz val="10"/>
        <rFont val="Arial"/>
        <family val="2"/>
      </rPr>
      <t>(S)how</t>
    </r>
    <r>
      <rPr>
        <sz val="9"/>
        <rFont val="Arial"/>
        <family val="2"/>
      </rPr>
      <t xml:space="preserve"> Button</t>
    </r>
    <r>
      <rPr>
        <sz val="9"/>
        <rFont val="Arial"/>
        <family val="2"/>
      </rPr>
      <t xml:space="preserve"> in the upper left of this section. This exposes a bit of addition info, including precise race distances in both Imperial and Metric form, as well as </t>
    </r>
  </si>
  <si>
    <r>
      <t xml:space="preserve">any of this, I suggest leaving this setting at 1. Moderate. It's probably the best match for the majority of people. You can </t>
    </r>
    <r>
      <rPr>
        <b/>
        <sz val="10"/>
        <rFont val="Arial"/>
        <family val="2"/>
      </rPr>
      <t>(H)ide</t>
    </r>
    <r>
      <rPr>
        <sz val="9"/>
        <rFont val="Arial"/>
        <family val="2"/>
      </rPr>
      <t xml:space="preserve"> this section when not in use if you wish.</t>
    </r>
  </si>
  <si>
    <t>*Note: The mectric option here is for height and weight only.  Each of the tables in the worksheet has its own option to switch to metric.</t>
  </si>
  <si>
    <r>
      <t xml:space="preserve">Then, using the HR and pace info, </t>
    </r>
    <r>
      <rPr>
        <b/>
        <sz val="9"/>
        <rFont val="Arial"/>
        <family val="2"/>
      </rPr>
      <t>Intensity Points</t>
    </r>
    <r>
      <rPr>
        <sz val="9"/>
        <rFont val="Arial"/>
        <family val="2"/>
      </rPr>
      <t xml:space="preserve"> are calculated for the various distances listed along the left side of the Intensity Points table. </t>
    </r>
  </si>
  <si>
    <t>No two runners are exactly alike. The many tables of projections and calculations in this worksheet are intended to be used as guidelines to aid in training plan development</t>
  </si>
  <si>
    <t>and goal setting. The pace calculations and other results of the worksheet are general approximations, and should not be considered absolutes.</t>
  </si>
  <si>
    <t>As the saying goes... "Your mileage may vary".</t>
  </si>
  <si>
    <t>measurement system preference, HRmax, resting heart rate, and best recent race result (or best guestimate) in the fields in the upper-left corner of the worksheet.</t>
  </si>
  <si>
    <t>Throughout this worksheet, all user entry fields are blue text on a white background. All other values are calculated and should not be edited.  Enter your height &amp; weight,</t>
  </si>
  <si>
    <t xml:space="preserve">More fit runners can maintain a higher HR at a given race distance than less fit runners (especially at longer distances), and this is reflected in the heart rate profile.  For example, </t>
  </si>
  <si>
    <t xml:space="preserve">an elite runner may be able to run a marathon at 87-89% of HRmax, while a novice may only be able to maintain 80-82% of HRmax during a marathon.  There are several factors </t>
  </si>
  <si>
    <t>A slower runner must ration his/her energy over a longer period of time, therefore needs to run at a lower effort to complete the distance.</t>
  </si>
  <si>
    <t>impacting this, including of course fitness level. But it's also due to the fact that time spent running is a significant factor with relation to maintaining a particular heart rate.</t>
  </si>
  <si>
    <t>*Note: The Greg McMillan and Joe Friel tables are approximate representations, not exact duplications.</t>
  </si>
  <si>
    <r>
      <t xml:space="preserve">In his book, Daniels'  table shows </t>
    </r>
    <r>
      <rPr>
        <b/>
        <sz val="9"/>
        <rFont val="Arial"/>
        <family val="2"/>
      </rPr>
      <t>Intensity Points</t>
    </r>
    <r>
      <rPr>
        <sz val="9"/>
        <rFont val="Arial"/>
        <family val="2"/>
      </rPr>
      <t xml:space="preserve"> in terms of minutes run. The </t>
    </r>
    <r>
      <rPr>
        <b/>
        <sz val="9"/>
        <rFont val="Arial"/>
        <family val="2"/>
      </rPr>
      <t>Intensity Grid</t>
    </r>
    <r>
      <rPr>
        <sz val="9"/>
        <rFont val="Arial"/>
        <family val="2"/>
      </rPr>
      <t xml:space="preserve"> above shows </t>
    </r>
    <r>
      <rPr>
        <b/>
        <sz val="9"/>
        <rFont val="Arial"/>
        <family val="2"/>
      </rPr>
      <t>approximate</t>
    </r>
    <r>
      <rPr>
        <sz val="9"/>
        <rFont val="Arial"/>
        <family val="2"/>
      </rPr>
      <t xml:space="preserve"> equivalent point values from the perspective of miles run.</t>
    </r>
  </si>
  <si>
    <r>
      <t xml:space="preserve">The </t>
    </r>
    <r>
      <rPr>
        <b/>
        <sz val="9"/>
        <rFont val="Arial"/>
        <family val="2"/>
      </rPr>
      <t>Intensity Points Calculator</t>
    </r>
    <r>
      <rPr>
        <sz val="9"/>
        <rFont val="Arial"/>
        <family val="2"/>
      </rPr>
      <t xml:space="preserve"> is a little tool to calculate and total </t>
    </r>
    <r>
      <rPr>
        <b/>
        <sz val="9"/>
        <rFont val="Arial"/>
        <family val="2"/>
      </rPr>
      <t>Intensity points</t>
    </r>
    <r>
      <rPr>
        <sz val="9"/>
        <rFont val="Arial"/>
        <family val="2"/>
      </rPr>
      <t xml:space="preserve"> for up to 10 runs of variable distance, time, pace, and heart rate..</t>
    </r>
  </si>
</sst>
</file>

<file path=xl/styles.xml><?xml version="1.0" encoding="utf-8"?>
<styleSheet xmlns="http://schemas.openxmlformats.org/spreadsheetml/2006/main">
  <numFmts count="7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h]:mm"/>
    <numFmt numFmtId="176" formatCode="&quot;VDOT = &quot;0.0"/>
    <numFmt numFmtId="177" formatCode="&quot;% V02max = &quot;0.0.%"/>
    <numFmt numFmtId="178" formatCode="m:ss"/>
    <numFmt numFmtId="179" formatCode="0.00000"/>
    <numFmt numFmtId="180" formatCode="[m]:ss"/>
    <numFmt numFmtId="181" formatCode="[h]:mm:ss;@"/>
    <numFmt numFmtId="182" formatCode="0.0\ \ \ \ "/>
    <numFmt numFmtId="183" formatCode="0.0\ &quot;liters / min&quot;"/>
    <numFmt numFmtId="184" formatCode="0.0\ &quot;lb&quot;"/>
    <numFmt numFmtId="185" formatCode="0.0\ &quot;in&quot;"/>
    <numFmt numFmtId="186" formatCode="0.0\ &quot;kg&quot;"/>
    <numFmt numFmtId="187" formatCode="0.0\ &quot;cm&quot;"/>
    <numFmt numFmtId="188" formatCode="0.0\ &quot;Mi&quot;"/>
    <numFmt numFmtId="189" formatCode="0.0\ &quot;km&quot;"/>
    <numFmt numFmtId="190" formatCode="&quot;VDOT  =  &quot;0.0"/>
    <numFmt numFmtId="191" formatCode="0.0000\ &quot;in&quot;"/>
    <numFmt numFmtId="192" formatCode="0.0000\ &quot;miles&quot;"/>
    <numFmt numFmtId="193" formatCode="0.0000\ &quot;lb&quot;"/>
    <numFmt numFmtId="194" formatCode="0.0000\ &quot;km&quot;"/>
    <numFmt numFmtId="195" formatCode="0.0000\ &quot;cm&quot;"/>
    <numFmt numFmtId="196" formatCode="0.0000\ &quot;kg&quot;"/>
    <numFmt numFmtId="197" formatCode="0\ &quot;min&quot;"/>
    <numFmt numFmtId="198" formatCode="0.0000"/>
    <numFmt numFmtId="199" formatCode="&quot;-&quot;\ h:mm:ss"/>
    <numFmt numFmtId="200" formatCode="&quot;1500/Mile:&quot;\ m:ss"/>
    <numFmt numFmtId="201" formatCode="&quot;5k Pace:&quot;\ [m]:ss"/>
    <numFmt numFmtId="202" formatCode="&quot;10k Pace:&quot;\ [m]:ss"/>
    <numFmt numFmtId="203" formatCode="&quot;(R)epetition :&quot;\ m:ss"/>
    <numFmt numFmtId="204" formatCode="&quot;(I)nterval :&quot;\ m:ss"/>
    <numFmt numFmtId="205" formatCode="&quot;(T)hreshold :&quot;\ m:ss"/>
    <numFmt numFmtId="206" formatCode="[h]:mm\ &quot;/mi&quot;"/>
    <numFmt numFmtId="207" formatCode="[h]:mm\ &quot;/km&quot;"/>
    <numFmt numFmtId="208" formatCode="m:ss\ &quot;/mi&quot;"/>
    <numFmt numFmtId="209" formatCode="m:ss\ &quot;/km&quot;"/>
    <numFmt numFmtId="210" formatCode="[m]:ss;@"/>
    <numFmt numFmtId="211" formatCode="0\ &quot;Splits&quot;"/>
    <numFmt numFmtId="212" formatCode="[m]:ss\ &quot;avg&quot;"/>
    <numFmt numFmtId="213" formatCode="0\ &quot; &quot;"/>
    <numFmt numFmtId="214" formatCode="&quot;(vdot &quot;\ 0.0&quot;)&quot;"/>
    <numFmt numFmtId="215" formatCode="0\°"/>
    <numFmt numFmtId="216" formatCode="&quot;BMI&quot;\ \ 0.0\ "/>
    <numFmt numFmtId="217" formatCode="&quot;Age&quot;\ \ 0"/>
    <numFmt numFmtId="218" formatCode="&quot;BMI&quot;\ \ 0.0"/>
    <numFmt numFmtId="219" formatCode="&quot;x&quot;\ 0.0"/>
    <numFmt numFmtId="220" formatCode="&quot;Current Weight - &quot;0"/>
    <numFmt numFmtId="221" formatCode="&quot;BMI - &quot;0.0\ "/>
    <numFmt numFmtId="222" formatCode="&quot;VDOT - &quot;0.0"/>
    <numFmt numFmtId="223" formatCode="0\ &quot;sec&quot;"/>
    <numFmt numFmtId="224" formatCode="0.00\ &quot;mph&quot;"/>
    <numFmt numFmtId="225" formatCode="0.00\ &quot;kph&quot;"/>
    <numFmt numFmtId="226" formatCode="&quot;Miles -&quot;\ 0.0000"/>
    <numFmt numFmtId="227" formatCode="&quot;Meters -&quot;\ 0.0"/>
    <numFmt numFmtId="228" formatCode="0.000000"/>
    <numFmt numFmtId="229" formatCode="m:ss\ &quot;mile&quot;"/>
    <numFmt numFmtId="230" formatCode="m:ss\ &quot;km&quot;"/>
    <numFmt numFmtId="231" formatCode="0.0000000"/>
    <numFmt numFmtId="232" formatCode="m:ss.000"/>
  </numFmts>
  <fonts count="70">
    <font>
      <sz val="10"/>
      <name val="Arial"/>
      <family val="0"/>
    </font>
    <font>
      <sz val="8"/>
      <name val="Arial"/>
      <family val="2"/>
    </font>
    <font>
      <u val="single"/>
      <sz val="10"/>
      <color indexed="36"/>
      <name val="Arial"/>
      <family val="2"/>
    </font>
    <font>
      <b/>
      <sz val="8"/>
      <color indexed="8"/>
      <name val="Arial"/>
      <family val="2"/>
    </font>
    <font>
      <u val="single"/>
      <sz val="10"/>
      <color indexed="12"/>
      <name val="Arial"/>
      <family val="2"/>
    </font>
    <font>
      <sz val="8"/>
      <color indexed="32"/>
      <name val="Arial"/>
      <family val="2"/>
    </font>
    <font>
      <b/>
      <sz val="14"/>
      <name val="Arial"/>
      <family val="2"/>
    </font>
    <font>
      <sz val="9"/>
      <name val="Arial"/>
      <family val="2"/>
    </font>
    <font>
      <b/>
      <sz val="9"/>
      <name val="Arial"/>
      <family val="2"/>
    </font>
    <font>
      <b/>
      <sz val="10"/>
      <name val="Arial"/>
      <family val="2"/>
    </font>
    <font>
      <i/>
      <u val="single"/>
      <sz val="10"/>
      <name val="Arial"/>
      <family val="2"/>
    </font>
    <font>
      <b/>
      <sz val="9"/>
      <color indexed="15"/>
      <name val="Arial"/>
      <family val="2"/>
    </font>
    <font>
      <b/>
      <sz val="8"/>
      <name val="Arial"/>
      <family val="2"/>
    </font>
    <font>
      <sz val="8"/>
      <color indexed="10"/>
      <name val="Arial"/>
      <family val="2"/>
    </font>
    <font>
      <b/>
      <sz val="10"/>
      <name val="Tahoma"/>
      <family val="2"/>
    </font>
    <font>
      <sz val="10"/>
      <name val="Tahoma"/>
      <family val="2"/>
    </font>
    <font>
      <sz val="8"/>
      <name val="Tahoma"/>
      <family val="2"/>
    </font>
    <font>
      <b/>
      <sz val="9"/>
      <color indexed="12"/>
      <name val="Arial"/>
      <family val="2"/>
    </font>
    <font>
      <b/>
      <sz val="9"/>
      <color indexed="60"/>
      <name val="Arial"/>
      <family val="2"/>
    </font>
    <font>
      <b/>
      <sz val="10"/>
      <color indexed="22"/>
      <name val="Arial"/>
      <family val="2"/>
    </font>
    <font>
      <sz val="10"/>
      <color indexed="22"/>
      <name val="Arial"/>
      <family val="2"/>
    </font>
    <font>
      <b/>
      <sz val="7"/>
      <name val="Arial"/>
      <family val="2"/>
    </font>
    <font>
      <b/>
      <sz val="10"/>
      <color indexed="60"/>
      <name val="Arial"/>
      <family val="2"/>
    </font>
    <font>
      <sz val="7"/>
      <name val="Arial"/>
      <family val="2"/>
    </font>
    <font>
      <sz val="8"/>
      <color indexed="12"/>
      <name val="Arial"/>
      <family val="2"/>
    </font>
    <font>
      <b/>
      <sz val="8"/>
      <color indexed="22"/>
      <name val="Arial"/>
      <family val="2"/>
    </font>
    <font>
      <b/>
      <u val="single"/>
      <sz val="9"/>
      <name val="Arial"/>
      <family val="2"/>
    </font>
    <font>
      <u val="single"/>
      <sz val="8"/>
      <color indexed="12"/>
      <name val="Arial"/>
      <family val="2"/>
    </font>
    <font>
      <u val="single"/>
      <sz val="9"/>
      <color indexed="12"/>
      <name val="Arial"/>
      <family val="2"/>
    </font>
    <font>
      <b/>
      <sz val="8"/>
      <color indexed="15"/>
      <name val="Arial"/>
      <family val="2"/>
    </font>
    <font>
      <b/>
      <sz val="8"/>
      <name val="Tahoma"/>
      <family val="2"/>
    </font>
    <font>
      <sz val="9"/>
      <name val="Tahoma"/>
      <family val="2"/>
    </font>
    <font>
      <b/>
      <sz val="7"/>
      <color indexed="12"/>
      <name val="Arial"/>
      <family val="2"/>
    </font>
    <font>
      <sz val="6"/>
      <name val="Arial"/>
      <family val="2"/>
    </font>
    <font>
      <sz val="10"/>
      <color indexed="9"/>
      <name val="Arial"/>
      <family val="2"/>
    </font>
    <font>
      <b/>
      <sz val="9"/>
      <color indexed="10"/>
      <name val="Arial"/>
      <family val="2"/>
    </font>
    <font>
      <sz val="7"/>
      <color indexed="40"/>
      <name val="Arial"/>
      <family val="2"/>
    </font>
    <font>
      <b/>
      <sz val="10"/>
      <color indexed="51"/>
      <name val="Arial"/>
      <family val="2"/>
    </font>
    <font>
      <sz val="10"/>
      <color indexed="44"/>
      <name val="Arial"/>
      <family val="2"/>
    </font>
    <font>
      <sz val="9"/>
      <color indexed="44"/>
      <name val="Arial"/>
      <family val="2"/>
    </font>
    <font>
      <b/>
      <sz val="10"/>
      <color indexed="12"/>
      <name val="Arial"/>
      <family val="2"/>
    </font>
    <font>
      <b/>
      <u val="single"/>
      <sz val="10"/>
      <color indexed="12"/>
      <name val="Arial"/>
      <family val="2"/>
    </font>
    <font>
      <u val="single"/>
      <sz val="10"/>
      <name val="Arial"/>
      <family val="2"/>
    </font>
    <font>
      <sz val="9"/>
      <color indexed="49"/>
      <name val="Arial"/>
      <family val="2"/>
    </font>
    <font>
      <sz val="9"/>
      <color indexed="12"/>
      <name val="Arial"/>
      <family val="2"/>
    </font>
    <font>
      <sz val="8"/>
      <color indexed="22"/>
      <name val="Arial"/>
      <family val="2"/>
    </font>
    <font>
      <b/>
      <sz val="8"/>
      <color indexed="12"/>
      <name val="Arial"/>
      <family val="2"/>
    </font>
    <font>
      <sz val="8"/>
      <color indexed="55"/>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b/>
      <sz val="10"/>
      <color indexed="15"/>
      <name val="Arial"/>
      <family val="2"/>
    </font>
    <font>
      <b/>
      <sz val="9"/>
      <color indexed="9"/>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48"/>
        <bgColor indexed="64"/>
      </patternFill>
    </fill>
  </fills>
  <borders count="2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medium"/>
      <top style="medium"/>
      <bottom style="medium"/>
    </border>
    <border>
      <left style="thin"/>
      <right style="thin"/>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style="thick"/>
      <right>
        <color indexed="63"/>
      </right>
      <top style="medium"/>
      <bottom>
        <color indexed="63"/>
      </bottom>
    </border>
    <border>
      <left style="medium"/>
      <right style="medium"/>
      <top style="medium"/>
      <bottom style="thin"/>
    </border>
    <border>
      <left style="medium"/>
      <right style="dashed"/>
      <top style="medium"/>
      <bottom style="thin"/>
    </border>
    <border>
      <left style="dashed"/>
      <right style="dashed"/>
      <top style="medium"/>
      <bottom style="thin"/>
    </border>
    <border>
      <left>
        <color indexed="63"/>
      </left>
      <right style="medium"/>
      <top>
        <color indexed="63"/>
      </top>
      <bottom>
        <color indexed="63"/>
      </bottom>
    </border>
    <border>
      <left style="medium"/>
      <right style="medium"/>
      <top>
        <color indexed="63"/>
      </top>
      <bottom style="thin"/>
    </border>
    <border>
      <left style="medium"/>
      <right style="dashed"/>
      <top style="thin"/>
      <bottom style="thin"/>
    </border>
    <border>
      <left style="dashed"/>
      <right style="dashed"/>
      <top style="thin"/>
      <bottom style="thin"/>
    </border>
    <border>
      <left style="thick"/>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dashed"/>
      <top style="thin"/>
      <bottom style="medium"/>
    </border>
    <border>
      <left style="dashed"/>
      <right style="dashed"/>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double"/>
      <right style="medium"/>
      <top style="thin"/>
      <bottom style="thin"/>
    </border>
    <border>
      <left style="double"/>
      <right style="medium"/>
      <top style="thin"/>
      <bottom style="medium"/>
    </border>
    <border>
      <left style="double"/>
      <right style="medium"/>
      <top style="medium"/>
      <bottom style="thin"/>
    </border>
    <border>
      <left style="medium"/>
      <right style="thick"/>
      <top style="thin"/>
      <bottom style="thin"/>
    </border>
    <border>
      <left style="medium"/>
      <right style="thick"/>
      <top style="thin"/>
      <bottom style="medium"/>
    </border>
    <border>
      <left style="medium"/>
      <right style="thick"/>
      <top style="medium"/>
      <bottom style="thin"/>
    </border>
    <border>
      <left style="dashed"/>
      <right>
        <color indexed="63"/>
      </right>
      <top style="medium"/>
      <bottom style="thin"/>
    </border>
    <border>
      <left style="dashed"/>
      <right>
        <color indexed="63"/>
      </right>
      <top style="thin"/>
      <bottom style="medium"/>
    </border>
    <border>
      <left style="dashed"/>
      <right>
        <color indexed="63"/>
      </right>
      <top style="thin"/>
      <bottom style="thin"/>
    </border>
    <border>
      <left style="medium"/>
      <right style="medium"/>
      <top>
        <color indexed="63"/>
      </top>
      <bottom>
        <color indexed="63"/>
      </bottom>
    </border>
    <border>
      <left>
        <color indexed="63"/>
      </left>
      <right style="thick"/>
      <top>
        <color indexed="63"/>
      </top>
      <bottom>
        <color indexed="63"/>
      </bottom>
    </border>
    <border>
      <left style="medium"/>
      <right style="dashed"/>
      <top>
        <color indexed="63"/>
      </top>
      <bottom style="medium"/>
    </border>
    <border>
      <left style="dashed"/>
      <right style="dashed"/>
      <top>
        <color indexed="63"/>
      </top>
      <bottom style="medium"/>
    </border>
    <border>
      <left style="dashed"/>
      <right>
        <color indexed="63"/>
      </right>
      <top style="medium"/>
      <bottom style="medium"/>
    </border>
    <border>
      <left style="dashed"/>
      <right style="dashed"/>
      <top style="medium"/>
      <bottom style="medium"/>
    </border>
    <border>
      <left style="double"/>
      <right style="medium"/>
      <top>
        <color indexed="63"/>
      </top>
      <bottom style="mediu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style="medium"/>
      <bottom>
        <color indexed="63"/>
      </bottom>
    </border>
    <border>
      <left style="medium"/>
      <right style="medium"/>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ck"/>
      <top>
        <color indexed="63"/>
      </top>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n"/>
      <top style="medium"/>
      <bottom style="medium"/>
    </border>
    <border>
      <left style="thin"/>
      <right style="thick"/>
      <top style="medium"/>
      <bottom style="thin"/>
    </border>
    <border>
      <left>
        <color indexed="63"/>
      </left>
      <right style="thick"/>
      <top style="medium"/>
      <bottom style="medium"/>
    </border>
    <border>
      <left style="thin"/>
      <right style="thick"/>
      <top style="thin"/>
      <bottom style="thin"/>
    </border>
    <border>
      <left style="thin"/>
      <right style="thick"/>
      <top style="medium"/>
      <bottom style="medium"/>
    </border>
    <border>
      <left style="thin"/>
      <right style="thick"/>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thick"/>
      <top style="medium"/>
      <bottom style="dashed"/>
    </border>
    <border>
      <left>
        <color indexed="63"/>
      </left>
      <right style="thick"/>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medium"/>
    </border>
    <border>
      <left style="thin"/>
      <right style="dotted"/>
      <top style="medium"/>
      <bottom style="thin"/>
    </border>
    <border>
      <left style="thin"/>
      <right style="dotted"/>
      <top style="thin"/>
      <bottom style="thin"/>
    </border>
    <border>
      <left style="thin"/>
      <right style="dotted"/>
      <top style="thin"/>
      <bottom style="medium"/>
    </border>
    <border>
      <left style="dotted"/>
      <right style="thick"/>
      <top style="medium"/>
      <bottom style="thin"/>
    </border>
    <border>
      <left style="dotted"/>
      <right style="thick"/>
      <top style="thin"/>
      <bottom style="thin"/>
    </border>
    <border>
      <left style="dotted"/>
      <right style="thick"/>
      <top style="thin"/>
      <bottom style="medium"/>
    </border>
    <border>
      <left style="dotted"/>
      <right>
        <color indexed="63"/>
      </right>
      <top style="medium"/>
      <bottom style="thin"/>
    </border>
    <border>
      <left style="dotted"/>
      <right>
        <color indexed="63"/>
      </right>
      <top style="thin"/>
      <bottom style="thin"/>
    </border>
    <border>
      <left style="dotted"/>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thick"/>
      <right style="thin"/>
      <top>
        <color indexed="63"/>
      </top>
      <bottom style="thin"/>
    </border>
    <border>
      <left style="thick"/>
      <right style="thin"/>
      <top style="thin"/>
      <bottom>
        <color indexed="63"/>
      </bottom>
    </border>
    <border>
      <left style="thin"/>
      <right style="thick"/>
      <top style="thick"/>
      <bottom style="medium"/>
    </border>
    <border>
      <left style="thin"/>
      <right style="medium"/>
      <top style="medium"/>
      <bottom style="thin"/>
    </border>
    <border>
      <left>
        <color indexed="63"/>
      </left>
      <right>
        <color indexed="63"/>
      </right>
      <top>
        <color indexed="63"/>
      </top>
      <bottom style="thick"/>
    </border>
    <border>
      <left style="thick"/>
      <right>
        <color indexed="63"/>
      </right>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medium"/>
      <top style="double"/>
      <bottom style="double"/>
    </border>
    <border>
      <left>
        <color indexed="63"/>
      </left>
      <right style="double"/>
      <top style="double"/>
      <bottom style="double"/>
    </border>
    <border>
      <left style="thick"/>
      <right style="thick"/>
      <top style="dashed"/>
      <bottom style="dashed"/>
    </border>
    <border>
      <left style="thick"/>
      <right style="thick"/>
      <top style="dashed"/>
      <bottom style="medium"/>
    </border>
    <border>
      <left>
        <color indexed="63"/>
      </left>
      <right>
        <color indexed="63"/>
      </right>
      <top style="thick"/>
      <bottom style="thick"/>
    </border>
    <border>
      <left>
        <color indexed="63"/>
      </left>
      <right style="medium"/>
      <top style="medium"/>
      <bottom style="thick"/>
    </border>
    <border>
      <left style="medium"/>
      <right>
        <color indexed="63"/>
      </right>
      <top style="medium"/>
      <bottom style="thick"/>
    </border>
    <border>
      <left style="double"/>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double"/>
    </border>
    <border>
      <left style="thin"/>
      <right style="thick"/>
      <top style="thin"/>
      <bottom style="double"/>
    </border>
    <border>
      <left style="thin"/>
      <right style="thin"/>
      <top style="double"/>
      <bottom style="thin"/>
    </border>
    <border>
      <left style="thin"/>
      <right style="thick"/>
      <top style="double"/>
      <bottom style="thin"/>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style="double"/>
      <right style="double"/>
      <top style="medium"/>
      <bottom style="thin"/>
    </border>
    <border>
      <left style="double"/>
      <right style="double"/>
      <top style="thin"/>
      <bottom style="thin"/>
    </border>
    <border>
      <left style="double"/>
      <right style="double"/>
      <top style="double"/>
      <bottom style="double"/>
    </border>
    <border>
      <left style="medium"/>
      <right>
        <color indexed="63"/>
      </right>
      <top style="thin"/>
      <bottom>
        <color indexed="63"/>
      </bottom>
    </border>
    <border>
      <left style="double"/>
      <right style="double"/>
      <top style="thin"/>
      <bottom>
        <color indexed="63"/>
      </bottom>
    </border>
    <border>
      <left>
        <color indexed="63"/>
      </left>
      <right>
        <color indexed="63"/>
      </right>
      <top style="medium"/>
      <bottom style="thick"/>
    </border>
    <border>
      <left>
        <color indexed="63"/>
      </left>
      <right style="thick"/>
      <top style="thick"/>
      <bottom>
        <color indexed="63"/>
      </bottom>
    </border>
    <border>
      <left style="thick"/>
      <right style="thick"/>
      <top style="medium"/>
      <bottom style="thin"/>
    </border>
    <border>
      <left style="thick"/>
      <right style="thick"/>
      <top>
        <color indexed="63"/>
      </top>
      <bottom style="thin"/>
    </border>
    <border>
      <left style="thick"/>
      <right style="thick"/>
      <top style="thin"/>
      <bottom style="thin"/>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ck"/>
      <right style="thick"/>
      <top style="thin"/>
      <bottom>
        <color indexed="63"/>
      </bottom>
    </border>
    <border>
      <left style="medium"/>
      <right style="thin"/>
      <top style="medium"/>
      <bottom>
        <color indexed="63"/>
      </bottom>
    </border>
    <border>
      <left style="medium"/>
      <right>
        <color indexed="63"/>
      </right>
      <top style="thick"/>
      <bottom style="medium"/>
    </border>
    <border>
      <left style="medium"/>
      <right style="medium"/>
      <top style="thick"/>
      <bottom style="medium"/>
    </border>
    <border>
      <left style="medium"/>
      <right style="double"/>
      <top style="thick"/>
      <bottom style="medium"/>
    </border>
    <border>
      <left style="double"/>
      <right style="medium"/>
      <top style="thick"/>
      <bottom style="medium"/>
    </border>
    <border>
      <left style="medium"/>
      <right style="thick"/>
      <top style="thick"/>
      <bottom style="medium"/>
    </border>
    <border>
      <left style="thick"/>
      <right style="thin"/>
      <top>
        <color indexed="63"/>
      </top>
      <bottom>
        <color indexed="63"/>
      </bottom>
    </border>
    <border>
      <left style="thin"/>
      <right style="medium"/>
      <top style="medium"/>
      <bottom>
        <color indexed="63"/>
      </bottom>
    </border>
    <border>
      <left style="thick"/>
      <right>
        <color indexed="63"/>
      </right>
      <top style="thick"/>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color indexed="63"/>
      </bottom>
    </border>
    <border>
      <left>
        <color indexed="63"/>
      </left>
      <right style="thick"/>
      <top style="medium"/>
      <bottom style="thin"/>
    </border>
    <border>
      <left>
        <color indexed="63"/>
      </left>
      <right style="thick"/>
      <top style="thin"/>
      <bottom>
        <color indexed="63"/>
      </bottom>
    </border>
    <border>
      <left style="thick"/>
      <right style="thick"/>
      <top style="medium"/>
      <bottom style="medium"/>
    </border>
    <border>
      <left style="thick"/>
      <right style="double"/>
      <top style="thick"/>
      <bottom>
        <color indexed="63"/>
      </bottom>
    </border>
    <border>
      <left style="thick"/>
      <right style="thin"/>
      <top style="thick"/>
      <bottom>
        <color indexed="63"/>
      </bottom>
    </border>
    <border>
      <left style="thin"/>
      <right style="medium"/>
      <top style="thick"/>
      <bottom style="thin"/>
    </border>
    <border>
      <left style="medium"/>
      <right style="thin"/>
      <top style="thick"/>
      <bottom>
        <color indexed="63"/>
      </bottom>
    </border>
    <border>
      <left style="thin"/>
      <right style="thick"/>
      <top>
        <color indexed="63"/>
      </top>
      <bottom style="thick"/>
    </border>
    <border>
      <left style="thick"/>
      <right style="thin"/>
      <top style="thick"/>
      <bottom style="thin"/>
    </border>
    <border>
      <left style="thick"/>
      <right style="thin"/>
      <top style="thin"/>
      <bottom style="thick"/>
    </border>
    <border>
      <left style="thick"/>
      <right>
        <color indexed="63"/>
      </right>
      <top>
        <color indexed="63"/>
      </top>
      <bottom style="thin"/>
    </border>
    <border>
      <left style="thin"/>
      <right>
        <color indexed="63"/>
      </right>
      <top style="thin"/>
      <bottom style="thin"/>
    </border>
    <border>
      <left>
        <color indexed="63"/>
      </left>
      <right style="thick"/>
      <top>
        <color indexed="63"/>
      </top>
      <bottom style="thin"/>
    </border>
    <border>
      <left style="thick"/>
      <right style="thin"/>
      <top style="medium"/>
      <bottom style="thin"/>
    </border>
    <border>
      <left style="thin"/>
      <right style="thin"/>
      <top style="thin"/>
      <bottom style="thick"/>
    </border>
    <border>
      <left style="thin"/>
      <right style="thick"/>
      <top style="thin"/>
      <bottom style="thick"/>
    </border>
    <border>
      <left>
        <color indexed="63"/>
      </left>
      <right style="thick"/>
      <top style="medium"/>
      <bottom style="thick"/>
    </border>
    <border>
      <left style="thin"/>
      <right style="thick"/>
      <top style="medium"/>
      <bottom style="thick"/>
    </border>
    <border>
      <left>
        <color indexed="63"/>
      </left>
      <right style="thick"/>
      <top>
        <color indexed="63"/>
      </top>
      <bottom style="thick"/>
    </border>
    <border>
      <left style="thin"/>
      <right style="thick"/>
      <top style="thin"/>
      <bottom>
        <color indexed="63"/>
      </bottom>
    </border>
    <border>
      <left style="double"/>
      <right style="medium"/>
      <top style="thin"/>
      <bottom>
        <color indexed="63"/>
      </bottom>
    </border>
    <border>
      <left style="medium"/>
      <right style="thick"/>
      <top style="thin"/>
      <bottom>
        <color indexed="63"/>
      </bottom>
    </border>
    <border>
      <left style="medium"/>
      <right>
        <color indexed="63"/>
      </right>
      <top style="medium"/>
      <bottom style="medium"/>
    </border>
    <border>
      <left style="double"/>
      <right style="medium"/>
      <top style="medium"/>
      <bottom style="medium"/>
    </border>
    <border>
      <left style="medium"/>
      <right style="thick"/>
      <top style="medium"/>
      <bottom style="medium"/>
    </border>
    <border>
      <left style="thick"/>
      <right style="thick"/>
      <top style="medium"/>
      <bottom style="thick"/>
    </border>
    <border>
      <left>
        <color indexed="63"/>
      </left>
      <right style="thick"/>
      <top style="thick"/>
      <bottom style="medium"/>
    </border>
    <border>
      <left style="thin"/>
      <right>
        <color indexed="63"/>
      </right>
      <top style="medium"/>
      <bottom style="thin"/>
    </border>
    <border>
      <left style="medium"/>
      <right style="double"/>
      <top style="medium"/>
      <bottom style="medium"/>
    </border>
    <border>
      <left style="double"/>
      <right style="double"/>
      <top style="double"/>
      <bottom style="medium"/>
    </border>
    <border>
      <left style="thick"/>
      <right style="thick"/>
      <top style="thick"/>
      <bottom>
        <color indexed="63"/>
      </bottom>
    </border>
    <border>
      <left style="thick"/>
      <right style="thick"/>
      <top>
        <color indexed="63"/>
      </top>
      <bottom style="medium"/>
    </border>
    <border>
      <left style="thin"/>
      <right style="thin"/>
      <top style="thick"/>
      <bottom style="thin"/>
    </border>
    <border>
      <left style="thin"/>
      <right style="dashed"/>
      <top style="medium"/>
      <bottom style="thin"/>
    </border>
    <border>
      <left style="thin"/>
      <right style="dashed"/>
      <top style="thin"/>
      <bottom style="thin"/>
    </border>
    <border>
      <left style="thin"/>
      <right style="dashed"/>
      <top style="thin"/>
      <bottom style="medium"/>
    </border>
    <border>
      <left style="thick"/>
      <right style="thin"/>
      <top style="thin"/>
      <bottom style="thin"/>
    </border>
    <border>
      <left style="medium"/>
      <right style="medium"/>
      <top style="medium"/>
      <bottom>
        <color indexed="63"/>
      </bottom>
    </border>
    <border>
      <left style="medium"/>
      <right style="double"/>
      <top style="medium"/>
      <bottom>
        <color indexed="63"/>
      </bottom>
    </border>
    <border>
      <left style="medium"/>
      <right style="double"/>
      <top>
        <color indexed="63"/>
      </top>
      <bottom style="medium"/>
    </border>
    <border>
      <left style="medium"/>
      <right style="thick"/>
      <top>
        <color indexed="63"/>
      </top>
      <bottom style="medium"/>
    </border>
    <border>
      <left style="medium"/>
      <right style="double"/>
      <top style="thin"/>
      <bottom style="thin"/>
    </border>
    <border>
      <left>
        <color indexed="63"/>
      </left>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color indexed="63"/>
      </right>
      <top style="medium"/>
      <bottom>
        <color indexed="63"/>
      </bottom>
    </border>
    <border>
      <left style="thick"/>
      <right>
        <color indexed="63"/>
      </right>
      <top style="thin"/>
      <bottom style="thin"/>
    </border>
    <border>
      <left>
        <color indexed="63"/>
      </left>
      <right style="thin"/>
      <top style="thin"/>
      <bottom style="thin"/>
    </border>
    <border>
      <left style="thin"/>
      <right style="thick"/>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ck"/>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style="thick"/>
    </border>
    <border>
      <left style="dashed"/>
      <right style="thick"/>
      <top style="medium"/>
      <bottom style="thin"/>
    </border>
    <border>
      <left style="dashed"/>
      <right style="thick"/>
      <top style="thin"/>
      <bottom style="thin"/>
    </border>
    <border>
      <left style="dashed"/>
      <right style="thick"/>
      <top style="thin"/>
      <bottom style="medium"/>
    </border>
    <border>
      <left style="thin"/>
      <right style="thick"/>
      <top style="thick"/>
      <bottom style="thin"/>
    </border>
    <border>
      <left>
        <color indexed="63"/>
      </left>
      <right style="thick"/>
      <top style="thin"/>
      <bottom style="thick"/>
    </border>
    <border>
      <left>
        <color indexed="63"/>
      </left>
      <right style="thick"/>
      <top style="thin"/>
      <bottom style="thin"/>
    </border>
    <border>
      <left>
        <color indexed="63"/>
      </left>
      <right style="thick"/>
      <top style="thin"/>
      <bottom style="medium"/>
    </border>
    <border>
      <left style="double"/>
      <right style="thick"/>
      <top style="medium"/>
      <bottom style="medium"/>
    </border>
    <border>
      <left>
        <color indexed="63"/>
      </left>
      <right style="thick"/>
      <top style="thick"/>
      <bottom style="thick"/>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ouble"/>
      <right style="medium"/>
      <top>
        <color indexed="63"/>
      </top>
      <bottom style="thin"/>
    </border>
    <border>
      <left style="medium"/>
      <right style="thick"/>
      <top>
        <color indexed="63"/>
      </top>
      <bottom style="thin"/>
    </border>
    <border>
      <left style="thick"/>
      <right>
        <color indexed="63"/>
      </right>
      <top style="thick"/>
      <bottom style="medium"/>
    </border>
    <border>
      <left>
        <color indexed="63"/>
      </left>
      <right>
        <color indexed="63"/>
      </right>
      <top style="thick"/>
      <bottom style="medium"/>
    </border>
    <border>
      <left style="medium"/>
      <right style="dashed"/>
      <top style="thick"/>
      <bottom style="medium"/>
    </border>
    <border>
      <left style="dashed"/>
      <right style="dashed"/>
      <top style="thick"/>
      <bottom style="medium"/>
    </border>
    <border>
      <left style="dashed"/>
      <right style="medium"/>
      <top style="thick"/>
      <bottom style="medium"/>
    </border>
    <border>
      <left style="dashed"/>
      <right style="medium"/>
      <top>
        <color indexed="63"/>
      </top>
      <bottom style="thin"/>
    </border>
    <border>
      <left style="dashed"/>
      <right style="medium"/>
      <top style="thin"/>
      <bottom style="thin"/>
    </border>
    <border>
      <left style="dashed"/>
      <right style="medium"/>
      <top style="thin"/>
      <bottom style="medium"/>
    </border>
    <border>
      <left style="dashed"/>
      <right style="medium"/>
      <top style="medium"/>
      <bottom style="thin"/>
    </border>
    <border>
      <left style="dashed"/>
      <right style="dashed"/>
      <top style="thin"/>
      <bottom>
        <color indexed="63"/>
      </bottom>
    </border>
    <border>
      <left style="dashed"/>
      <right>
        <color indexed="63"/>
      </right>
      <top style="thin"/>
      <bottom>
        <color indexed="63"/>
      </bottom>
    </border>
    <border>
      <left style="dashed"/>
      <right>
        <color indexed="63"/>
      </right>
      <top style="medium"/>
      <bottom>
        <color indexed="63"/>
      </bottom>
    </border>
    <border>
      <left style="dashed"/>
      <right>
        <color indexed="63"/>
      </right>
      <top>
        <color indexed="63"/>
      </top>
      <bottom style="medium"/>
    </border>
    <border>
      <left style="dashed"/>
      <right style="medium"/>
      <top style="thin"/>
      <bottom>
        <color indexed="63"/>
      </bottom>
    </border>
    <border>
      <left style="medium"/>
      <right style="dashed"/>
      <top style="thin"/>
      <bottom style="thick"/>
    </border>
    <border>
      <left style="dashed"/>
      <right style="medium"/>
      <top style="thin"/>
      <bottom style="thick"/>
    </border>
    <border>
      <left style="thick"/>
      <right>
        <color indexed="63"/>
      </right>
      <top style="medium"/>
      <bottom style="thick"/>
    </border>
    <border>
      <left style="medium"/>
      <right style="medium"/>
      <top style="medium"/>
      <bottom style="dotted"/>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style="medium"/>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thin"/>
      <bottom style="medium"/>
    </border>
    <border>
      <left>
        <color indexed="63"/>
      </left>
      <right style="thin"/>
      <top style="thin"/>
      <bottom style="medium"/>
    </border>
    <border>
      <left style="thick"/>
      <right>
        <color indexed="63"/>
      </right>
      <top style="medium"/>
      <bottom style="medium"/>
    </border>
    <border>
      <left>
        <color indexed="63"/>
      </left>
      <right style="medium"/>
      <top style="thick"/>
      <bottom style="medium"/>
    </border>
    <border>
      <left>
        <color indexed="63"/>
      </left>
      <right style="medium"/>
      <top style="medium"/>
      <bottom style="thin"/>
    </border>
    <border>
      <left style="thick"/>
      <right>
        <color indexed="63"/>
      </right>
      <top style="thick"/>
      <bottom style="thick"/>
    </border>
    <border>
      <left style="thick"/>
      <right>
        <color indexed="63"/>
      </right>
      <top style="thick"/>
      <bottom style="thin"/>
    </border>
    <border>
      <left>
        <color indexed="63"/>
      </left>
      <right>
        <color indexed="63"/>
      </right>
      <top style="thick"/>
      <bottom style="thin"/>
    </border>
    <border>
      <left>
        <color indexed="63"/>
      </left>
      <right style="double"/>
      <top style="medium"/>
      <bottom style="thin"/>
    </border>
    <border>
      <left style="thick"/>
      <right>
        <color indexed="63"/>
      </right>
      <top style="thin"/>
      <bottom style="double"/>
    </border>
    <border>
      <left>
        <color indexed="63"/>
      </left>
      <right style="thin"/>
      <top style="thin"/>
      <bottom style="double"/>
    </border>
    <border>
      <left style="thick"/>
      <right>
        <color indexed="63"/>
      </right>
      <top style="double"/>
      <bottom style="thin"/>
    </border>
    <border>
      <left>
        <color indexed="63"/>
      </left>
      <right style="thin"/>
      <top style="double"/>
      <bottom style="thin"/>
    </border>
    <border>
      <left style="thick"/>
      <right>
        <color indexed="63"/>
      </right>
      <top style="thin"/>
      <bottom>
        <color indexed="63"/>
      </bottom>
    </border>
    <border>
      <left>
        <color indexed="63"/>
      </left>
      <right style="double"/>
      <top style="thin"/>
      <bottom style="medium"/>
    </border>
    <border>
      <left>
        <color indexed="63"/>
      </left>
      <right style="double"/>
      <top style="medium"/>
      <bottom style="medium"/>
    </border>
    <border>
      <left style="thick"/>
      <right style="thin"/>
      <top style="medium"/>
      <bottom>
        <color indexed="63"/>
      </bottom>
    </border>
    <border>
      <left style="thin"/>
      <right style="thin"/>
      <top style="medium"/>
      <bottom>
        <color indexed="63"/>
      </bottom>
    </border>
    <border>
      <left style="thick"/>
      <right>
        <color indexed="63"/>
      </right>
      <top style="thin"/>
      <bottom style="thick"/>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color indexed="63"/>
      </left>
      <right style="thin"/>
      <top style="medium"/>
      <bottom style="thick"/>
    </border>
    <border>
      <left style="thick"/>
      <right style="thin"/>
      <top style="medium"/>
      <bottom style="thick"/>
    </border>
    <border>
      <left style="thin"/>
      <right style="thin"/>
      <top style="medium"/>
      <bottom style="thick"/>
    </border>
    <border>
      <left style="thin"/>
      <right>
        <color indexed="63"/>
      </right>
      <top>
        <color indexed="63"/>
      </top>
      <bottom style="medium"/>
    </border>
    <border>
      <left>
        <color indexed="63"/>
      </left>
      <right style="double"/>
      <top style="thin"/>
      <bottom>
        <color indexed="63"/>
      </bottom>
    </border>
    <border>
      <left>
        <color indexed="63"/>
      </left>
      <right style="medium"/>
      <top style="thin"/>
      <bottom style="thin"/>
    </border>
    <border>
      <left style="thick"/>
      <right style="thin"/>
      <top style="thick"/>
      <bottom style="medium"/>
    </border>
    <border>
      <left style="thin"/>
      <right style="thin"/>
      <top style="thick"/>
      <bottom style="medium"/>
    </border>
    <border>
      <left style="medium"/>
      <right>
        <color indexed="63"/>
      </right>
      <top style="thick"/>
      <bottom>
        <color indexed="63"/>
      </bottom>
    </border>
    <border>
      <left>
        <color indexed="63"/>
      </left>
      <right style="thick"/>
      <top style="thick"/>
      <bottom style="thin"/>
    </border>
    <border>
      <left style="thin"/>
      <right style="thick"/>
      <top style="medium"/>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5" fillId="0" borderId="0" applyNumberFormat="0" applyFill="0" applyBorder="0" applyAlignment="0" applyProtection="0"/>
    <xf numFmtId="0" fontId="52" fillId="16" borderId="1" applyNumberFormat="0" applyAlignment="0" applyProtection="0"/>
    <xf numFmtId="0" fontId="53" fillId="17" borderId="2" applyNumberFormat="0" applyAlignment="0" applyProtection="0"/>
    <xf numFmtId="0" fontId="60" fillId="0" borderId="3" applyNumberFormat="0" applyFill="0" applyAlignment="0" applyProtection="0"/>
    <xf numFmtId="0" fontId="55" fillId="4"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9" fillId="7" borderId="1" applyNumberFormat="0" applyAlignment="0" applyProtection="0"/>
    <xf numFmtId="0" fontId="54" fillId="0" borderId="0" applyNumberFormat="0" applyFill="0" applyBorder="0" applyAlignment="0" applyProtection="0"/>
    <xf numFmtId="0" fontId="3" fillId="22" borderId="7">
      <alignment horizontal="center" vertical="top" wrapText="1"/>
      <protection/>
    </xf>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23" borderId="0" applyNumberFormat="0" applyBorder="0" applyAlignment="0" applyProtection="0"/>
    <xf numFmtId="0" fontId="5" fillId="6" borderId="8">
      <alignment/>
      <protection/>
    </xf>
    <xf numFmtId="0" fontId="0" fillId="22" borderId="9" applyNumberFormat="0" applyFont="0" applyAlignment="0" applyProtection="0"/>
    <xf numFmtId="9" fontId="0" fillId="0" borderId="0" applyFont="0" applyFill="0" applyBorder="0" applyAlignment="0" applyProtection="0"/>
    <xf numFmtId="0" fontId="62" fillId="16" borderId="10" applyNumberFormat="0" applyAlignment="0" applyProtection="0"/>
    <xf numFmtId="0" fontId="63" fillId="0" borderId="0" applyNumberFormat="0" applyFill="0" applyBorder="0" applyAlignment="0" applyProtection="0"/>
    <xf numFmtId="0" fontId="64" fillId="0" borderId="11" applyNumberFormat="0" applyFill="0" applyAlignment="0" applyProtection="0"/>
    <xf numFmtId="0" fontId="1" fillId="24" borderId="8" applyProtection="0">
      <alignment/>
    </xf>
  </cellStyleXfs>
  <cellXfs count="974">
    <xf numFmtId="0" fontId="0" fillId="0" borderId="0" xfId="0" applyAlignment="1">
      <alignment/>
    </xf>
    <xf numFmtId="0" fontId="7" fillId="16" borderId="12" xfId="0" applyFont="1" applyFill="1" applyBorder="1" applyAlignment="1" applyProtection="1">
      <alignment/>
      <protection/>
    </xf>
    <xf numFmtId="0" fontId="7" fillId="16" borderId="12" xfId="0" applyFont="1" applyFill="1" applyBorder="1" applyAlignment="1" applyProtection="1">
      <alignment horizontal="center"/>
      <protection/>
    </xf>
    <xf numFmtId="1" fontId="7" fillId="16" borderId="12" xfId="0" applyNumberFormat="1" applyFont="1" applyFill="1" applyBorder="1" applyAlignment="1" applyProtection="1">
      <alignment horizontal="center"/>
      <protection/>
    </xf>
    <xf numFmtId="1" fontId="7" fillId="16" borderId="0" xfId="0" applyNumberFormat="1" applyFont="1" applyFill="1" applyBorder="1" applyAlignment="1" applyProtection="1">
      <alignment horizontal="right"/>
      <protection/>
    </xf>
    <xf numFmtId="1" fontId="7" fillId="16" borderId="12" xfId="0" applyNumberFormat="1" applyFont="1" applyFill="1" applyBorder="1" applyAlignment="1" applyProtection="1">
      <alignment horizontal="right"/>
      <protection/>
    </xf>
    <xf numFmtId="0" fontId="7" fillId="16" borderId="13" xfId="0" applyFont="1" applyFill="1" applyBorder="1" applyAlignment="1" applyProtection="1">
      <alignment horizontal="right"/>
      <protection/>
    </xf>
    <xf numFmtId="172" fontId="7" fillId="4" borderId="14" xfId="0" applyNumberFormat="1" applyFont="1" applyFill="1" applyBorder="1" applyAlignment="1" applyProtection="1">
      <alignment horizontal="center"/>
      <protection/>
    </xf>
    <xf numFmtId="172" fontId="7" fillId="25" borderId="15" xfId="0" applyNumberFormat="1" applyFont="1" applyFill="1" applyBorder="1" applyAlignment="1" applyProtection="1">
      <alignment horizontal="center"/>
      <protection/>
    </xf>
    <xf numFmtId="172" fontId="7" fillId="25" borderId="16" xfId="0" applyNumberFormat="1" applyFont="1" applyFill="1" applyBorder="1" applyAlignment="1" applyProtection="1">
      <alignment horizontal="center"/>
      <protection/>
    </xf>
    <xf numFmtId="0" fontId="7" fillId="16" borderId="12" xfId="0" applyFont="1" applyFill="1" applyBorder="1" applyAlignment="1" applyProtection="1">
      <alignment horizontal="right"/>
      <protection/>
    </xf>
    <xf numFmtId="0" fontId="7" fillId="16" borderId="17" xfId="0" applyFont="1" applyFill="1" applyBorder="1" applyAlignment="1" applyProtection="1">
      <alignment horizontal="center"/>
      <protection/>
    </xf>
    <xf numFmtId="172" fontId="7" fillId="4" borderId="18" xfId="0" applyNumberFormat="1" applyFont="1" applyFill="1" applyBorder="1" applyAlignment="1" applyProtection="1">
      <alignment horizontal="center"/>
      <protection/>
    </xf>
    <xf numFmtId="172" fontId="7" fillId="25" borderId="19" xfId="0" applyNumberFormat="1" applyFont="1" applyFill="1" applyBorder="1" applyAlignment="1" applyProtection="1">
      <alignment horizontal="center"/>
      <protection/>
    </xf>
    <xf numFmtId="172" fontId="7" fillId="25" borderId="20" xfId="0" applyNumberFormat="1" applyFont="1" applyFill="1" applyBorder="1" applyAlignment="1" applyProtection="1">
      <alignment horizontal="center"/>
      <protection/>
    </xf>
    <xf numFmtId="0" fontId="7" fillId="16" borderId="21" xfId="0" applyFont="1" applyFill="1" applyBorder="1" applyAlignment="1" applyProtection="1">
      <alignment horizontal="right"/>
      <protection/>
    </xf>
    <xf numFmtId="0" fontId="7" fillId="16" borderId="22" xfId="0" applyFont="1" applyFill="1" applyBorder="1" applyAlignment="1" applyProtection="1">
      <alignment horizontal="center"/>
      <protection/>
    </xf>
    <xf numFmtId="172" fontId="7" fillId="4" borderId="23" xfId="0" applyNumberFormat="1" applyFont="1" applyFill="1" applyBorder="1" applyAlignment="1" applyProtection="1">
      <alignment horizontal="center"/>
      <protection/>
    </xf>
    <xf numFmtId="172" fontId="7" fillId="25" borderId="24" xfId="0" applyNumberFormat="1" applyFont="1" applyFill="1" applyBorder="1" applyAlignment="1" applyProtection="1">
      <alignment horizontal="center"/>
      <protection/>
    </xf>
    <xf numFmtId="172" fontId="7" fillId="25" borderId="25" xfId="0" applyNumberFormat="1" applyFont="1" applyFill="1" applyBorder="1" applyAlignment="1" applyProtection="1">
      <alignment horizontal="center"/>
      <protection/>
    </xf>
    <xf numFmtId="0" fontId="7" fillId="16" borderId="26" xfId="0" applyFont="1" applyFill="1" applyBorder="1" applyAlignment="1" applyProtection="1">
      <alignment horizontal="center"/>
      <protection/>
    </xf>
    <xf numFmtId="172" fontId="7" fillId="4" borderId="27" xfId="0" applyNumberFormat="1" applyFont="1" applyFill="1" applyBorder="1" applyAlignment="1" applyProtection="1">
      <alignment horizontal="center"/>
      <protection/>
    </xf>
    <xf numFmtId="172" fontId="7" fillId="4" borderId="28" xfId="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7" fillId="0" borderId="0" xfId="0" applyNumberFormat="1" applyFont="1" applyFill="1" applyBorder="1" applyAlignment="1" applyProtection="1">
      <alignment horizontal="center"/>
      <protection/>
    </xf>
    <xf numFmtId="172" fontId="7" fillId="22" borderId="29" xfId="0" applyNumberFormat="1" applyFont="1" applyFill="1" applyBorder="1" applyAlignment="1" applyProtection="1">
      <alignment horizontal="center"/>
      <protection/>
    </xf>
    <xf numFmtId="172" fontId="7" fillId="22" borderId="30" xfId="0" applyNumberFormat="1" applyFont="1" applyFill="1" applyBorder="1" applyAlignment="1" applyProtection="1">
      <alignment horizontal="center"/>
      <protection/>
    </xf>
    <xf numFmtId="172" fontId="7" fillId="22" borderId="31" xfId="0" applyNumberFormat="1" applyFont="1" applyFill="1" applyBorder="1" applyAlignment="1" applyProtection="1">
      <alignment horizontal="center"/>
      <protection/>
    </xf>
    <xf numFmtId="172" fontId="7" fillId="7" borderId="27" xfId="0" applyNumberFormat="1" applyFont="1" applyFill="1" applyBorder="1" applyAlignment="1" applyProtection="1">
      <alignment horizontal="center"/>
      <protection/>
    </xf>
    <xf numFmtId="172" fontId="7" fillId="7" borderId="28" xfId="0" applyNumberFormat="1" applyFont="1" applyFill="1" applyBorder="1" applyAlignment="1" applyProtection="1">
      <alignment horizontal="center"/>
      <protection/>
    </xf>
    <xf numFmtId="172" fontId="7" fillId="7" borderId="14" xfId="0" applyNumberFormat="1" applyFont="1" applyFill="1" applyBorder="1" applyAlignment="1" applyProtection="1">
      <alignment horizontal="center"/>
      <protection/>
    </xf>
    <xf numFmtId="172" fontId="7" fillId="5" borderId="32" xfId="0" applyNumberFormat="1" applyFont="1" applyFill="1" applyBorder="1" applyAlignment="1" applyProtection="1">
      <alignment horizontal="center"/>
      <protection/>
    </xf>
    <xf numFmtId="172" fontId="7" fillId="5" borderId="33" xfId="0" applyNumberFormat="1" applyFont="1" applyFill="1" applyBorder="1" applyAlignment="1" applyProtection="1">
      <alignment horizontal="center"/>
      <protection/>
    </xf>
    <xf numFmtId="172" fontId="7" fillId="5" borderId="34" xfId="0" applyNumberFormat="1" applyFont="1" applyFill="1" applyBorder="1" applyAlignment="1" applyProtection="1">
      <alignment horizontal="center"/>
      <protection/>
    </xf>
    <xf numFmtId="172" fontId="7" fillId="26" borderId="15" xfId="0" applyNumberFormat="1" applyFont="1" applyFill="1" applyBorder="1" applyAlignment="1" applyProtection="1">
      <alignment horizontal="center"/>
      <protection/>
    </xf>
    <xf numFmtId="172" fontId="7" fillId="26" borderId="16" xfId="0" applyNumberFormat="1" applyFont="1" applyFill="1" applyBorder="1" applyAlignment="1" applyProtection="1">
      <alignment horizontal="center"/>
      <protection/>
    </xf>
    <xf numFmtId="172" fontId="7" fillId="26" borderId="19" xfId="0" applyNumberFormat="1" applyFont="1" applyFill="1" applyBorder="1" applyAlignment="1" applyProtection="1">
      <alignment horizontal="center"/>
      <protection/>
    </xf>
    <xf numFmtId="172" fontId="7" fillId="26" borderId="20" xfId="0" applyNumberFormat="1" applyFont="1" applyFill="1" applyBorder="1" applyAlignment="1" applyProtection="1">
      <alignment horizontal="center"/>
      <protection/>
    </xf>
    <xf numFmtId="172" fontId="7" fillId="26" borderId="24" xfId="0" applyNumberFormat="1" applyFont="1" applyFill="1" applyBorder="1" applyAlignment="1" applyProtection="1">
      <alignment horizontal="center"/>
      <protection/>
    </xf>
    <xf numFmtId="172" fontId="7" fillId="26" borderId="25" xfId="0" applyNumberFormat="1" applyFont="1" applyFill="1" applyBorder="1" applyAlignment="1" applyProtection="1">
      <alignment horizontal="center"/>
      <protection/>
    </xf>
    <xf numFmtId="172" fontId="7" fillId="25" borderId="35" xfId="0" applyNumberFormat="1" applyFont="1" applyFill="1" applyBorder="1" applyAlignment="1" applyProtection="1">
      <alignment horizontal="center"/>
      <protection/>
    </xf>
    <xf numFmtId="172" fontId="7" fillId="25" borderId="36" xfId="0" applyNumberFormat="1" applyFont="1" applyFill="1" applyBorder="1" applyAlignment="1" applyProtection="1">
      <alignment horizontal="center"/>
      <protection/>
    </xf>
    <xf numFmtId="172" fontId="7" fillId="25" borderId="37" xfId="0" applyNumberFormat="1" applyFont="1" applyFill="1" applyBorder="1" applyAlignment="1" applyProtection="1">
      <alignment horizontal="center"/>
      <protection/>
    </xf>
    <xf numFmtId="0" fontId="7" fillId="16" borderId="0" xfId="0" applyFont="1" applyFill="1" applyBorder="1" applyAlignment="1" applyProtection="1">
      <alignment horizontal="right"/>
      <protection/>
    </xf>
    <xf numFmtId="0" fontId="0" fillId="0" borderId="0" xfId="0" applyFill="1" applyAlignment="1" applyProtection="1">
      <alignment/>
      <protection/>
    </xf>
    <xf numFmtId="0" fontId="1" fillId="0" borderId="0" xfId="0" applyFont="1" applyFill="1" applyAlignment="1" applyProtection="1">
      <alignment horizontal="center"/>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1" fontId="0" fillId="0" borderId="0" xfId="0" applyNumberFormat="1" applyAlignment="1" applyProtection="1">
      <alignment horizontal="center"/>
      <protection/>
    </xf>
    <xf numFmtId="0" fontId="0" fillId="0" borderId="0" xfId="0" applyBorder="1" applyAlignment="1" applyProtection="1">
      <alignment/>
      <protection/>
    </xf>
    <xf numFmtId="0" fontId="1" fillId="0" borderId="7" xfId="0" applyFont="1" applyBorder="1" applyAlignment="1" applyProtection="1">
      <alignment horizontal="center"/>
      <protection/>
    </xf>
    <xf numFmtId="173" fontId="0" fillId="0" borderId="38" xfId="0" applyNumberFormat="1" applyBorder="1" applyAlignment="1" applyProtection="1">
      <alignment horizontal="center"/>
      <protection/>
    </xf>
    <xf numFmtId="174" fontId="0" fillId="0" borderId="38" xfId="0" applyNumberFormat="1" applyBorder="1" applyAlignment="1" applyProtection="1">
      <alignment horizontal="center"/>
      <protection/>
    </xf>
    <xf numFmtId="173" fontId="0" fillId="0" borderId="23" xfId="0" applyNumberFormat="1" applyBorder="1" applyAlignment="1" applyProtection="1">
      <alignment horizontal="center"/>
      <protection/>
    </xf>
    <xf numFmtId="174" fontId="0" fillId="0" borderId="23" xfId="0" applyNumberFormat="1" applyBorder="1" applyAlignment="1" applyProtection="1">
      <alignment horizontal="center"/>
      <protection/>
    </xf>
    <xf numFmtId="0" fontId="0" fillId="0" borderId="0" xfId="0"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39" xfId="0" applyBorder="1" applyAlignment="1" applyProtection="1">
      <alignment/>
      <protection/>
    </xf>
    <xf numFmtId="172" fontId="7" fillId="25" borderId="40" xfId="0" applyNumberFormat="1" applyFont="1" applyFill="1" applyBorder="1" applyAlignment="1" applyProtection="1">
      <alignment horizontal="center"/>
      <protection/>
    </xf>
    <xf numFmtId="172" fontId="7" fillId="25" borderId="41" xfId="0" applyNumberFormat="1" applyFont="1" applyFill="1" applyBorder="1" applyAlignment="1" applyProtection="1">
      <alignment horizontal="center"/>
      <protection/>
    </xf>
    <xf numFmtId="172" fontId="7" fillId="25" borderId="42" xfId="0" applyNumberFormat="1" applyFont="1" applyFill="1" applyBorder="1" applyAlignment="1" applyProtection="1">
      <alignment horizontal="center"/>
      <protection/>
    </xf>
    <xf numFmtId="172" fontId="7" fillId="26" borderId="40" xfId="0" applyNumberFormat="1" applyFont="1" applyFill="1" applyBorder="1" applyAlignment="1" applyProtection="1">
      <alignment horizontal="center"/>
      <protection/>
    </xf>
    <xf numFmtId="172" fontId="7" fillId="26" borderId="43" xfId="0" applyNumberFormat="1" applyFont="1" applyFill="1" applyBorder="1" applyAlignment="1" applyProtection="1">
      <alignment horizontal="center"/>
      <protection/>
    </xf>
    <xf numFmtId="172" fontId="7" fillId="22" borderId="44" xfId="0" applyNumberFormat="1" applyFont="1" applyFill="1" applyBorder="1" applyAlignment="1" applyProtection="1">
      <alignment horizontal="center"/>
      <protection/>
    </xf>
    <xf numFmtId="0" fontId="0" fillId="0" borderId="0" xfId="0" applyNumberFormat="1" applyBorder="1" applyAlignment="1" applyProtection="1">
      <alignment/>
      <protection/>
    </xf>
    <xf numFmtId="0" fontId="13"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NumberFormat="1" applyBorder="1" applyAlignment="1" applyProtection="1">
      <alignment horizontal="center"/>
      <protection/>
    </xf>
    <xf numFmtId="174" fontId="0" fillId="0" borderId="45" xfId="0" applyNumberFormat="1" applyBorder="1" applyAlignment="1" applyProtection="1">
      <alignment horizontal="center"/>
      <protection/>
    </xf>
    <xf numFmtId="0" fontId="0" fillId="0" borderId="14" xfId="0" applyNumberFormat="1" applyBorder="1" applyAlignment="1" applyProtection="1">
      <alignment/>
      <protection/>
    </xf>
    <xf numFmtId="0" fontId="0" fillId="0" borderId="27" xfId="0" applyNumberFormat="1" applyBorder="1" applyAlignment="1" applyProtection="1">
      <alignment/>
      <protection/>
    </xf>
    <xf numFmtId="0" fontId="0" fillId="0" borderId="27" xfId="0" applyNumberFormat="1" applyFill="1" applyBorder="1" applyAlignment="1" applyProtection="1">
      <alignment/>
      <protection/>
    </xf>
    <xf numFmtId="0" fontId="0" fillId="0" borderId="0" xfId="0" applyBorder="1" applyAlignment="1" applyProtection="1">
      <alignment/>
      <protection/>
    </xf>
    <xf numFmtId="0" fontId="6" fillId="24" borderId="46" xfId="0" applyFont="1" applyFill="1" applyBorder="1" applyAlignment="1" applyProtection="1">
      <alignment/>
      <protection/>
    </xf>
    <xf numFmtId="0" fontId="7" fillId="24" borderId="0" xfId="0" applyFont="1" applyFill="1" applyBorder="1" applyAlignment="1" applyProtection="1">
      <alignment/>
      <protection/>
    </xf>
    <xf numFmtId="0" fontId="0" fillId="0" borderId="47" xfId="0" applyBorder="1" applyAlignment="1" applyProtection="1">
      <alignment/>
      <protection/>
    </xf>
    <xf numFmtId="0" fontId="0" fillId="0" borderId="48" xfId="0" applyNumberFormat="1"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7" xfId="0" applyBorder="1" applyAlignment="1" applyProtection="1">
      <alignment horizontal="center"/>
      <protection/>
    </xf>
    <xf numFmtId="0" fontId="0" fillId="0" borderId="51" xfId="0" applyBorder="1" applyAlignment="1" applyProtection="1">
      <alignment/>
      <protection/>
    </xf>
    <xf numFmtId="20" fontId="1" fillId="16" borderId="52" xfId="0" applyNumberFormat="1" applyFont="1" applyFill="1" applyBorder="1" applyAlignment="1">
      <alignment horizontal="center"/>
    </xf>
    <xf numFmtId="0" fontId="12" fillId="16" borderId="53" xfId="0" applyNumberFormat="1" applyFont="1" applyFill="1" applyBorder="1" applyAlignment="1" applyProtection="1">
      <alignment horizontal="center"/>
      <protection/>
    </xf>
    <xf numFmtId="0" fontId="12" fillId="16" borderId="54" xfId="0" applyNumberFormat="1" applyFont="1" applyFill="1" applyBorder="1" applyAlignment="1" applyProtection="1">
      <alignment horizontal="center"/>
      <protection/>
    </xf>
    <xf numFmtId="0" fontId="12" fillId="16" borderId="55" xfId="0" applyFont="1" applyFill="1" applyBorder="1" applyAlignment="1" applyProtection="1">
      <alignment horizontal="center"/>
      <protection/>
    </xf>
    <xf numFmtId="178" fontId="18" fillId="22" borderId="51" xfId="0" applyNumberFormat="1" applyFont="1" applyFill="1" applyBorder="1" applyAlignment="1" applyProtection="1">
      <alignment horizontal="center"/>
      <protection/>
    </xf>
    <xf numFmtId="178" fontId="7" fillId="22" borderId="51" xfId="0" applyNumberFormat="1" applyFont="1" applyFill="1" applyBorder="1" applyAlignment="1" applyProtection="1">
      <alignment horizontal="center"/>
      <protection/>
    </xf>
    <xf numFmtId="178" fontId="7" fillId="3" borderId="49" xfId="0" applyNumberFormat="1" applyFont="1" applyFill="1" applyBorder="1" applyAlignment="1" applyProtection="1">
      <alignment horizontal="center"/>
      <protection/>
    </xf>
    <xf numFmtId="0" fontId="7" fillId="27" borderId="56" xfId="0" applyFont="1" applyFill="1" applyBorder="1" applyAlignment="1" applyProtection="1">
      <alignment horizontal="center"/>
      <protection/>
    </xf>
    <xf numFmtId="46" fontId="7" fillId="8" borderId="51" xfId="0" applyNumberFormat="1" applyFont="1" applyFill="1" applyBorder="1" applyAlignment="1" applyProtection="1">
      <alignment horizontal="center"/>
      <protection/>
    </xf>
    <xf numFmtId="178" fontId="7" fillId="8" borderId="54" xfId="0" applyNumberFormat="1" applyFont="1" applyFill="1" applyBorder="1" applyAlignment="1" applyProtection="1">
      <alignment horizontal="center"/>
      <protection/>
    </xf>
    <xf numFmtId="172" fontId="7" fillId="7" borderId="50" xfId="0" applyNumberFormat="1" applyFont="1" applyFill="1" applyBorder="1" applyAlignment="1" applyProtection="1">
      <alignment horizontal="center"/>
      <protection/>
    </xf>
    <xf numFmtId="46" fontId="7" fillId="7" borderId="49" xfId="0" applyNumberFormat="1" applyFont="1" applyFill="1" applyBorder="1" applyAlignment="1" applyProtection="1">
      <alignment horizontal="center"/>
      <protection/>
    </xf>
    <xf numFmtId="178" fontId="7" fillId="22" borderId="57" xfId="0" applyNumberFormat="1" applyFont="1" applyFill="1" applyBorder="1" applyAlignment="1" applyProtection="1">
      <alignment horizontal="center"/>
      <protection/>
    </xf>
    <xf numFmtId="0" fontId="0" fillId="0" borderId="12" xfId="0" applyBorder="1" applyAlignment="1" applyProtection="1">
      <alignment/>
      <protection/>
    </xf>
    <xf numFmtId="0" fontId="7" fillId="0" borderId="58" xfId="0" applyFont="1" applyBorder="1" applyAlignment="1" applyProtection="1">
      <alignment/>
      <protection/>
    </xf>
    <xf numFmtId="21" fontId="19" fillId="16" borderId="58" xfId="0" applyNumberFormat="1" applyFont="1" applyFill="1" applyBorder="1" applyAlignment="1" applyProtection="1">
      <alignment/>
      <protection locked="0"/>
    </xf>
    <xf numFmtId="178" fontId="7" fillId="3" borderId="59"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7" fillId="27" borderId="60" xfId="0" applyFont="1" applyFill="1" applyBorder="1" applyAlignment="1" applyProtection="1">
      <alignment horizontal="center"/>
      <protection/>
    </xf>
    <xf numFmtId="46" fontId="7" fillId="8" borderId="57" xfId="0" applyNumberFormat="1" applyFont="1" applyFill="1" applyBorder="1" applyAlignment="1" applyProtection="1">
      <alignment horizontal="center"/>
      <protection/>
    </xf>
    <xf numFmtId="178" fontId="7" fillId="8" borderId="55" xfId="0" applyNumberFormat="1" applyFont="1" applyFill="1" applyBorder="1" applyAlignment="1" applyProtection="1">
      <alignment horizontal="center"/>
      <protection/>
    </xf>
    <xf numFmtId="172" fontId="7" fillId="7" borderId="61" xfId="0" applyNumberFormat="1" applyFont="1" applyFill="1" applyBorder="1" applyAlignment="1" applyProtection="1">
      <alignment horizontal="center"/>
      <protection/>
    </xf>
    <xf numFmtId="0" fontId="20" fillId="16" borderId="0" xfId="0" applyFont="1" applyFill="1" applyBorder="1" applyAlignment="1" applyProtection="1">
      <alignment/>
      <protection locked="0"/>
    </xf>
    <xf numFmtId="0" fontId="12" fillId="25" borderId="62" xfId="0" applyFont="1" applyFill="1" applyBorder="1" applyAlignment="1" applyProtection="1">
      <alignment horizontal="center"/>
      <protection/>
    </xf>
    <xf numFmtId="0" fontId="12" fillId="25" borderId="63" xfId="0" applyFont="1" applyFill="1" applyBorder="1" applyAlignment="1" applyProtection="1">
      <alignment horizontal="center"/>
      <protection/>
    </xf>
    <xf numFmtId="0" fontId="12" fillId="25" borderId="51" xfId="0" applyFont="1" applyFill="1" applyBorder="1" applyAlignment="1" applyProtection="1">
      <alignment horizontal="center"/>
      <protection/>
    </xf>
    <xf numFmtId="178" fontId="12" fillId="0" borderId="0" xfId="0" applyNumberFormat="1" applyFont="1" applyFill="1" applyBorder="1" applyAlignment="1" applyProtection="1">
      <alignment horizontal="left"/>
      <protection/>
    </xf>
    <xf numFmtId="0" fontId="0" fillId="16" borderId="64" xfId="0" applyFill="1" applyBorder="1" applyAlignment="1" applyProtection="1">
      <alignment/>
      <protection/>
    </xf>
    <xf numFmtId="1" fontId="7" fillId="25" borderId="54" xfId="0" applyNumberFormat="1" applyFont="1" applyFill="1" applyBorder="1" applyAlignment="1" applyProtection="1">
      <alignment horizontal="center"/>
      <protection/>
    </xf>
    <xf numFmtId="172" fontId="22" fillId="7" borderId="50" xfId="0" applyNumberFormat="1" applyFont="1" applyFill="1" applyBorder="1" applyAlignment="1" applyProtection="1">
      <alignment horizontal="center"/>
      <protection/>
    </xf>
    <xf numFmtId="180" fontId="22" fillId="7" borderId="54" xfId="0" applyNumberFormat="1" applyFont="1" applyFill="1" applyBorder="1" applyAlignment="1" applyProtection="1">
      <alignment horizontal="center"/>
      <protection/>
    </xf>
    <xf numFmtId="1" fontId="22" fillId="27" borderId="56" xfId="0" applyNumberFormat="1" applyFont="1" applyFill="1" applyBorder="1" applyAlignment="1" applyProtection="1">
      <alignment horizontal="center"/>
      <protection/>
    </xf>
    <xf numFmtId="46" fontId="22" fillId="8" borderId="51" xfId="0" applyNumberFormat="1" applyFont="1" applyFill="1" applyBorder="1" applyAlignment="1" applyProtection="1">
      <alignment horizontal="center"/>
      <protection/>
    </xf>
    <xf numFmtId="178" fontId="22" fillId="8" borderId="54" xfId="0" applyNumberFormat="1" applyFont="1" applyFill="1" applyBorder="1" applyAlignment="1" applyProtection="1">
      <alignment horizontal="center"/>
      <protection/>
    </xf>
    <xf numFmtId="180" fontId="7" fillId="7" borderId="54" xfId="0" applyNumberFormat="1" applyFont="1" applyFill="1" applyBorder="1" applyAlignment="1" applyProtection="1">
      <alignment horizontal="center"/>
      <protection/>
    </xf>
    <xf numFmtId="1" fontId="7" fillId="15" borderId="56" xfId="0" applyNumberFormat="1" applyFont="1" applyFill="1" applyBorder="1" applyAlignment="1" applyProtection="1">
      <alignment horizontal="center"/>
      <protection/>
    </xf>
    <xf numFmtId="1" fontId="22" fillId="15" borderId="56" xfId="0" applyNumberFormat="1" applyFont="1" applyFill="1" applyBorder="1" applyAlignment="1" applyProtection="1">
      <alignment horizontal="center"/>
      <protection/>
    </xf>
    <xf numFmtId="1" fontId="7" fillId="15" borderId="6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75" fontId="17" fillId="0" borderId="65" xfId="0" applyNumberFormat="1" applyFont="1" applyBorder="1" applyAlignment="1" applyProtection="1">
      <alignment horizontal="center"/>
      <protection locked="0"/>
    </xf>
    <xf numFmtId="175" fontId="17" fillId="0" borderId="66" xfId="0" applyNumberFormat="1" applyFont="1" applyBorder="1" applyAlignment="1" applyProtection="1">
      <alignment horizontal="center"/>
      <protection locked="0"/>
    </xf>
    <xf numFmtId="0" fontId="7" fillId="2" borderId="67" xfId="0" applyFont="1" applyFill="1" applyBorder="1" applyAlignment="1" applyProtection="1">
      <alignment/>
      <protection/>
    </xf>
    <xf numFmtId="0" fontId="7" fillId="2" borderId="68" xfId="0" applyFont="1" applyFill="1" applyBorder="1" applyAlignment="1" applyProtection="1">
      <alignment/>
      <protection/>
    </xf>
    <xf numFmtId="0" fontId="7" fillId="2" borderId="69" xfId="0" applyFont="1" applyFill="1" applyBorder="1" applyAlignment="1" applyProtection="1">
      <alignment/>
      <protection/>
    </xf>
    <xf numFmtId="0" fontId="7" fillId="2" borderId="70" xfId="0" applyFont="1" applyFill="1" applyBorder="1" applyAlignment="1" applyProtection="1">
      <alignment/>
      <protection/>
    </xf>
    <xf numFmtId="0" fontId="7" fillId="15" borderId="51" xfId="0" applyFont="1" applyFill="1" applyBorder="1" applyAlignment="1">
      <alignment horizontal="center"/>
    </xf>
    <xf numFmtId="21" fontId="17" fillId="0" borderId="54" xfId="0" applyNumberFormat="1" applyFont="1" applyBorder="1" applyAlignment="1" applyProtection="1">
      <alignment horizontal="center"/>
      <protection locked="0"/>
    </xf>
    <xf numFmtId="197" fontId="18" fillId="28" borderId="56" xfId="0" applyNumberFormat="1" applyFont="1" applyFill="1" applyBorder="1" applyAlignment="1" applyProtection="1">
      <alignment horizontal="center"/>
      <protection/>
    </xf>
    <xf numFmtId="197" fontId="7" fillId="28" borderId="56" xfId="0" applyNumberFormat="1" applyFont="1" applyFill="1" applyBorder="1" applyAlignment="1" applyProtection="1">
      <alignment horizontal="center"/>
      <protection/>
    </xf>
    <xf numFmtId="197" fontId="7" fillId="28" borderId="60" xfId="0" applyNumberFormat="1" applyFont="1" applyFill="1" applyBorder="1" applyAlignment="1" applyProtection="1">
      <alignment horizontal="center"/>
      <protection/>
    </xf>
    <xf numFmtId="172" fontId="18" fillId="22" borderId="54" xfId="0" applyNumberFormat="1" applyFont="1" applyFill="1" applyBorder="1" applyAlignment="1" applyProtection="1">
      <alignment horizontal="center"/>
      <protection/>
    </xf>
    <xf numFmtId="172" fontId="7" fillId="22" borderId="54" xfId="0" applyNumberFormat="1" applyFont="1" applyFill="1" applyBorder="1" applyAlignment="1" applyProtection="1">
      <alignment horizontal="center"/>
      <protection/>
    </xf>
    <xf numFmtId="172" fontId="7" fillId="22" borderId="55" xfId="0" applyNumberFormat="1" applyFont="1" applyFill="1" applyBorder="1" applyAlignment="1" applyProtection="1">
      <alignment horizontal="center"/>
      <protection/>
    </xf>
    <xf numFmtId="0" fontId="17" fillId="0" borderId="59" xfId="0" applyNumberFormat="1" applyFont="1" applyBorder="1" applyAlignment="1" applyProtection="1">
      <alignment horizontal="center"/>
      <protection locked="0"/>
    </xf>
    <xf numFmtId="0" fontId="7" fillId="0" borderId="71" xfId="0" applyNumberFormat="1" applyFont="1" applyBorder="1" applyAlignment="1" applyProtection="1">
      <alignment/>
      <protection/>
    </xf>
    <xf numFmtId="0" fontId="7" fillId="0" borderId="7" xfId="0" applyNumberFormat="1" applyFont="1" applyFill="1" applyBorder="1" applyAlignment="1" applyProtection="1">
      <alignment horizontal="center"/>
      <protection/>
    </xf>
    <xf numFmtId="0" fontId="7" fillId="0" borderId="7" xfId="0" applyFont="1" applyFill="1" applyBorder="1" applyAlignment="1" applyProtection="1">
      <alignment horizontal="center"/>
      <protection/>
    </xf>
    <xf numFmtId="0" fontId="0" fillId="0" borderId="49" xfId="0" applyFill="1" applyBorder="1" applyAlignment="1" applyProtection="1">
      <alignment/>
      <protection/>
    </xf>
    <xf numFmtId="0" fontId="12" fillId="16" borderId="72" xfId="0" applyFont="1" applyFill="1" applyBorder="1" applyAlignment="1" applyProtection="1">
      <alignment horizontal="center"/>
      <protection/>
    </xf>
    <xf numFmtId="46" fontId="7" fillId="4" borderId="73" xfId="0" applyNumberFormat="1" applyFont="1" applyFill="1" applyBorder="1" applyAlignment="1" applyProtection="1">
      <alignment horizontal="center"/>
      <protection/>
    </xf>
    <xf numFmtId="46" fontId="7" fillId="4" borderId="74" xfId="0" applyNumberFormat="1" applyFont="1" applyFill="1" applyBorder="1" applyAlignment="1" applyProtection="1">
      <alignment horizontal="center"/>
      <protection/>
    </xf>
    <xf numFmtId="46" fontId="7" fillId="4" borderId="75" xfId="0" applyNumberFormat="1" applyFont="1" applyFill="1" applyBorder="1" applyAlignment="1" applyProtection="1">
      <alignment horizontal="center"/>
      <protection/>
    </xf>
    <xf numFmtId="180" fontId="7" fillId="25" borderId="76" xfId="0" applyNumberFormat="1" applyFont="1" applyFill="1" applyBorder="1" applyAlignment="1" applyProtection="1">
      <alignment horizontal="center"/>
      <protection/>
    </xf>
    <xf numFmtId="180" fontId="7" fillId="25" borderId="77" xfId="0" applyNumberFormat="1" applyFont="1" applyFill="1" applyBorder="1" applyAlignment="1" applyProtection="1">
      <alignment horizontal="center"/>
      <protection/>
    </xf>
    <xf numFmtId="180" fontId="7" fillId="25" borderId="78" xfId="0" applyNumberFormat="1" applyFont="1" applyFill="1" applyBorder="1" applyAlignment="1" applyProtection="1">
      <alignment horizontal="center"/>
      <protection/>
    </xf>
    <xf numFmtId="178" fontId="7" fillId="4" borderId="79" xfId="0" applyNumberFormat="1" applyFont="1" applyFill="1" applyBorder="1" applyAlignment="1" applyProtection="1">
      <alignment horizontal="center"/>
      <protection/>
    </xf>
    <xf numFmtId="178" fontId="7" fillId="4" borderId="80" xfId="0" applyNumberFormat="1" applyFont="1" applyFill="1" applyBorder="1" applyAlignment="1" applyProtection="1">
      <alignment horizontal="center"/>
      <protection/>
    </xf>
    <xf numFmtId="178" fontId="7" fillId="4" borderId="81" xfId="0" applyNumberFormat="1" applyFont="1" applyFill="1" applyBorder="1" applyAlignment="1" applyProtection="1">
      <alignment horizontal="center"/>
      <protection/>
    </xf>
    <xf numFmtId="0" fontId="12" fillId="16" borderId="82" xfId="0" applyFont="1" applyFill="1" applyBorder="1" applyAlignment="1" applyProtection="1">
      <alignment horizontal="center"/>
      <protection/>
    </xf>
    <xf numFmtId="0" fontId="20" fillId="16" borderId="83" xfId="0" applyFont="1" applyFill="1" applyBorder="1" applyAlignment="1" applyProtection="1">
      <alignment/>
      <protection locked="0"/>
    </xf>
    <xf numFmtId="46" fontId="7" fillId="25" borderId="62" xfId="0" applyNumberFormat="1" applyFont="1" applyFill="1" applyBorder="1" applyAlignment="1" applyProtection="1">
      <alignment horizontal="center"/>
      <protection/>
    </xf>
    <xf numFmtId="46" fontId="7" fillId="25" borderId="84" xfId="0" applyNumberFormat="1" applyFont="1" applyFill="1" applyBorder="1" applyAlignment="1" applyProtection="1">
      <alignment horizontal="center"/>
      <protection/>
    </xf>
    <xf numFmtId="46" fontId="7" fillId="25" borderId="63" xfId="0" applyNumberFormat="1" applyFont="1" applyFill="1" applyBorder="1" applyAlignment="1" applyProtection="1">
      <alignment horizontal="center"/>
      <protection/>
    </xf>
    <xf numFmtId="0" fontId="7" fillId="4" borderId="85" xfId="0" applyNumberFormat="1" applyFont="1" applyFill="1" applyBorder="1" applyAlignment="1" applyProtection="1">
      <alignment horizontal="center"/>
      <protection/>
    </xf>
    <xf numFmtId="0" fontId="7" fillId="4" borderId="86" xfId="0" applyFont="1" applyFill="1" applyBorder="1" applyAlignment="1" applyProtection="1">
      <alignment horizontal="center"/>
      <protection/>
    </xf>
    <xf numFmtId="0" fontId="19" fillId="16" borderId="87" xfId="0" applyFont="1" applyFill="1" applyBorder="1" applyAlignment="1" applyProtection="1">
      <alignment/>
      <protection locked="0"/>
    </xf>
    <xf numFmtId="0" fontId="25" fillId="16" borderId="88" xfId="0" applyFont="1" applyFill="1" applyBorder="1" applyAlignment="1" applyProtection="1">
      <alignment/>
      <protection locked="0"/>
    </xf>
    <xf numFmtId="0" fontId="27" fillId="16" borderId="89" xfId="51" applyFont="1" applyFill="1" applyBorder="1" applyAlignment="1" applyProtection="1">
      <alignment/>
      <protection/>
    </xf>
    <xf numFmtId="0" fontId="28" fillId="16" borderId="90" xfId="51" applyFont="1" applyFill="1" applyBorder="1" applyAlignment="1" applyProtection="1">
      <alignment horizontal="center"/>
      <protection/>
    </xf>
    <xf numFmtId="0" fontId="28" fillId="16" borderId="91" xfId="51" applyFont="1" applyFill="1" applyBorder="1" applyAlignment="1" applyProtection="1">
      <alignment horizontal="center"/>
      <protection/>
    </xf>
    <xf numFmtId="0" fontId="8" fillId="16" borderId="92" xfId="0" applyFont="1" applyFill="1" applyBorder="1" applyAlignment="1" applyProtection="1">
      <alignment horizontal="center"/>
      <protection/>
    </xf>
    <xf numFmtId="172" fontId="17" fillId="0" borderId="14" xfId="0" applyNumberFormat="1" applyFont="1" applyBorder="1" applyAlignment="1" applyProtection="1">
      <alignment horizontal="center"/>
      <protection locked="0"/>
    </xf>
    <xf numFmtId="172" fontId="8" fillId="8" borderId="93" xfId="0" applyNumberFormat="1" applyFont="1" applyFill="1" applyBorder="1" applyAlignment="1" applyProtection="1">
      <alignment horizontal="center"/>
      <protection/>
    </xf>
    <xf numFmtId="172" fontId="8" fillId="8" borderId="94" xfId="0" applyNumberFormat="1" applyFont="1" applyFill="1" applyBorder="1" applyAlignment="1" applyProtection="1">
      <alignment horizontal="center"/>
      <protection/>
    </xf>
    <xf numFmtId="21" fontId="17" fillId="0" borderId="95" xfId="0" applyNumberFormat="1" applyFont="1" applyBorder="1" applyAlignment="1" applyProtection="1">
      <alignment horizontal="center"/>
      <protection locked="0"/>
    </xf>
    <xf numFmtId="199" fontId="17" fillId="0" borderId="96" xfId="0" applyNumberFormat="1" applyFont="1" applyBorder="1" applyAlignment="1" applyProtection="1">
      <alignment horizontal="center"/>
      <protection locked="0"/>
    </xf>
    <xf numFmtId="0" fontId="0" fillId="0" borderId="97" xfId="0" applyBorder="1" applyAlignment="1" applyProtection="1">
      <alignment/>
      <protection/>
    </xf>
    <xf numFmtId="0" fontId="0" fillId="0" borderId="97" xfId="0" applyBorder="1" applyAlignment="1" applyProtection="1">
      <alignment horizontal="center"/>
      <protection/>
    </xf>
    <xf numFmtId="0" fontId="7" fillId="0" borderId="97" xfId="0" applyFont="1" applyBorder="1" applyAlignment="1" applyProtection="1">
      <alignment/>
      <protection/>
    </xf>
    <xf numFmtId="20" fontId="7" fillId="16" borderId="98" xfId="0" applyNumberFormat="1" applyFont="1" applyFill="1" applyBorder="1" applyAlignment="1" applyProtection="1">
      <alignment horizontal="right"/>
      <protection/>
    </xf>
    <xf numFmtId="20" fontId="7" fillId="16" borderId="99" xfId="0" applyNumberFormat="1" applyFont="1" applyFill="1" applyBorder="1" applyAlignment="1" applyProtection="1">
      <alignment horizontal="right"/>
      <protection/>
    </xf>
    <xf numFmtId="46" fontId="7" fillId="16" borderId="100" xfId="0" applyNumberFormat="1" applyFont="1" applyFill="1" applyBorder="1" applyAlignment="1" applyProtection="1">
      <alignment horizontal="center"/>
      <protection/>
    </xf>
    <xf numFmtId="46" fontId="7" fillId="16" borderId="101" xfId="0" applyNumberFormat="1" applyFont="1" applyFill="1" applyBorder="1" applyAlignment="1" applyProtection="1">
      <alignment horizontal="center"/>
      <protection/>
    </xf>
    <xf numFmtId="46" fontId="7" fillId="16" borderId="102" xfId="0" applyNumberFormat="1" applyFont="1" applyFill="1" applyBorder="1" applyAlignment="1" applyProtection="1">
      <alignment horizontal="center"/>
      <protection/>
    </xf>
    <xf numFmtId="0" fontId="7" fillId="16" borderId="56" xfId="0" applyFont="1" applyFill="1" applyBorder="1" applyAlignment="1" applyProtection="1">
      <alignment horizontal="center"/>
      <protection/>
    </xf>
    <xf numFmtId="0" fontId="7" fillId="16" borderId="60" xfId="0" applyFont="1" applyFill="1" applyBorder="1" applyAlignment="1" applyProtection="1">
      <alignment horizontal="center"/>
      <protection/>
    </xf>
    <xf numFmtId="178" fontId="7" fillId="5" borderId="50" xfId="0" applyNumberFormat="1" applyFont="1" applyFill="1" applyBorder="1" applyAlignment="1" applyProtection="1">
      <alignment horizontal="center"/>
      <protection/>
    </xf>
    <xf numFmtId="178" fontId="7" fillId="5" borderId="57" xfId="0" applyNumberFormat="1" applyFont="1" applyFill="1" applyBorder="1" applyAlignment="1" applyProtection="1">
      <alignment horizontal="center"/>
      <protection/>
    </xf>
    <xf numFmtId="178" fontId="7" fillId="22" borderId="54" xfId="0" applyNumberFormat="1" applyFont="1" applyFill="1" applyBorder="1" applyAlignment="1" applyProtection="1">
      <alignment horizontal="center"/>
      <protection/>
    </xf>
    <xf numFmtId="178" fontId="7" fillId="22" borderId="55" xfId="0" applyNumberFormat="1" applyFont="1" applyFill="1" applyBorder="1" applyAlignment="1" applyProtection="1">
      <alignment horizontal="center"/>
      <protection/>
    </xf>
    <xf numFmtId="178" fontId="7" fillId="22" borderId="103" xfId="0" applyNumberFormat="1" applyFont="1" applyFill="1" applyBorder="1" applyAlignment="1" applyProtection="1">
      <alignment horizontal="center"/>
      <protection/>
    </xf>
    <xf numFmtId="178" fontId="7" fillId="22" borderId="104" xfId="0" applyNumberFormat="1" applyFont="1" applyFill="1" applyBorder="1" applyAlignment="1" applyProtection="1">
      <alignment horizontal="center"/>
      <protection/>
    </xf>
    <xf numFmtId="178" fontId="7" fillId="5" borderId="105" xfId="0" applyNumberFormat="1" applyFont="1" applyFill="1" applyBorder="1" applyAlignment="1" applyProtection="1">
      <alignment horizontal="center"/>
      <protection/>
    </xf>
    <xf numFmtId="178" fontId="7" fillId="5" borderId="106" xfId="0" applyNumberFormat="1" applyFont="1" applyFill="1" applyBorder="1" applyAlignment="1" applyProtection="1">
      <alignment horizontal="center"/>
      <protection/>
    </xf>
    <xf numFmtId="175" fontId="17" fillId="0" borderId="54" xfId="0" applyNumberFormat="1" applyFont="1" applyBorder="1" applyAlignment="1" applyProtection="1">
      <alignment horizontal="center"/>
      <protection locked="0"/>
    </xf>
    <xf numFmtId="172" fontId="8" fillId="8" borderId="107" xfId="0" applyNumberFormat="1" applyFont="1" applyFill="1" applyBorder="1" applyAlignment="1" applyProtection="1">
      <alignment horizontal="center"/>
      <protection/>
    </xf>
    <xf numFmtId="172" fontId="8" fillId="8" borderId="108" xfId="0" applyNumberFormat="1" applyFont="1" applyFill="1" applyBorder="1" applyAlignment="1" applyProtection="1">
      <alignment horizontal="center"/>
      <protection/>
    </xf>
    <xf numFmtId="0" fontId="12" fillId="16" borderId="14" xfId="0" applyFont="1" applyFill="1" applyBorder="1" applyAlignment="1" applyProtection="1">
      <alignment horizontal="center" vertical="center"/>
      <protection/>
    </xf>
    <xf numFmtId="0" fontId="12" fillId="16" borderId="27" xfId="0" applyFont="1" applyFill="1" applyBorder="1" applyAlignment="1" applyProtection="1">
      <alignment horizontal="center" vertical="center"/>
      <protection/>
    </xf>
    <xf numFmtId="172" fontId="17" fillId="0" borderId="27" xfId="0" applyNumberFormat="1" applyFont="1" applyBorder="1" applyAlignment="1" applyProtection="1">
      <alignment horizontal="center"/>
      <protection locked="0"/>
    </xf>
    <xf numFmtId="0" fontId="12" fillId="16" borderId="62" xfId="0" applyFont="1" applyFill="1" applyBorder="1" applyAlignment="1" applyProtection="1">
      <alignment horizontal="center"/>
      <protection/>
    </xf>
    <xf numFmtId="172" fontId="17" fillId="0" borderId="62" xfId="0" applyNumberFormat="1" applyFont="1" applyBorder="1" applyAlignment="1" applyProtection="1">
      <alignment horizontal="center"/>
      <protection locked="0"/>
    </xf>
    <xf numFmtId="172" fontId="17" fillId="0" borderId="84" xfId="0" applyNumberFormat="1" applyFont="1" applyBorder="1" applyAlignment="1" applyProtection="1">
      <alignment horizontal="center"/>
      <protection locked="0"/>
    </xf>
    <xf numFmtId="172" fontId="8" fillId="8" borderId="109" xfId="0" applyNumberFormat="1" applyFont="1" applyFill="1" applyBorder="1" applyAlignment="1" applyProtection="1">
      <alignment horizontal="center"/>
      <protection/>
    </xf>
    <xf numFmtId="172" fontId="17" fillId="0" borderId="110" xfId="0" applyNumberFormat="1" applyFont="1" applyBorder="1" applyAlignment="1" applyProtection="1">
      <alignment horizontal="center"/>
      <protection locked="0"/>
    </xf>
    <xf numFmtId="172" fontId="17" fillId="0" borderId="111" xfId="0" applyNumberFormat="1" applyFont="1" applyBorder="1" applyAlignment="1" applyProtection="1">
      <alignment horizontal="center"/>
      <protection locked="0"/>
    </xf>
    <xf numFmtId="172" fontId="8" fillId="8" borderId="112" xfId="0" applyNumberFormat="1" applyFont="1" applyFill="1" applyBorder="1" applyAlignment="1" applyProtection="1">
      <alignment horizontal="center"/>
      <protection/>
    </xf>
    <xf numFmtId="172" fontId="17" fillId="0" borderId="48" xfId="0" applyNumberFormat="1" applyFont="1" applyBorder="1" applyAlignment="1" applyProtection="1">
      <alignment horizontal="center"/>
      <protection locked="0"/>
    </xf>
    <xf numFmtId="172" fontId="17" fillId="0" borderId="113" xfId="0" applyNumberFormat="1" applyFont="1" applyBorder="1" applyAlignment="1" applyProtection="1">
      <alignment horizontal="center"/>
      <protection locked="0"/>
    </xf>
    <xf numFmtId="172" fontId="17" fillId="0" borderId="114" xfId="0" applyNumberFormat="1" applyFont="1" applyBorder="1" applyAlignment="1" applyProtection="1">
      <alignment horizontal="center"/>
      <protection locked="0"/>
    </xf>
    <xf numFmtId="0" fontId="7" fillId="0" borderId="14" xfId="0" applyNumberFormat="1" applyFont="1" applyFill="1" applyBorder="1" applyAlignment="1" applyProtection="1">
      <alignment horizontal="center"/>
      <protection/>
    </xf>
    <xf numFmtId="179" fontId="7" fillId="0" borderId="14" xfId="0" applyNumberFormat="1" applyFont="1" applyFill="1" applyBorder="1" applyAlignment="1" applyProtection="1">
      <alignment horizontal="center"/>
      <protection/>
    </xf>
    <xf numFmtId="0" fontId="7" fillId="0" borderId="27" xfId="0" applyNumberFormat="1" applyFont="1" applyBorder="1" applyAlignment="1" applyProtection="1">
      <alignment horizontal="center"/>
      <protection/>
    </xf>
    <xf numFmtId="179" fontId="7" fillId="0" borderId="27" xfId="0" applyNumberFormat="1" applyFont="1" applyBorder="1" applyAlignment="1" applyProtection="1">
      <alignment horizontal="center"/>
      <protection/>
    </xf>
    <xf numFmtId="179" fontId="7" fillId="0" borderId="27" xfId="0"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7" fillId="0" borderId="28" xfId="0" applyFont="1" applyBorder="1" applyAlignment="1" applyProtection="1">
      <alignment horizontal="center"/>
      <protection/>
    </xf>
    <xf numFmtId="179" fontId="7" fillId="0" borderId="28" xfId="0" applyNumberFormat="1" applyFont="1" applyFill="1" applyBorder="1" applyAlignment="1" applyProtection="1">
      <alignment horizontal="center"/>
      <protection/>
    </xf>
    <xf numFmtId="20" fontId="33" fillId="16" borderId="115" xfId="0" applyNumberFormat="1" applyFont="1" applyFill="1" applyBorder="1" applyAlignment="1" applyProtection="1">
      <alignment horizontal="center" vertical="top"/>
      <protection/>
    </xf>
    <xf numFmtId="20" fontId="12" fillId="16" borderId="116" xfId="0" applyNumberFormat="1" applyFont="1" applyFill="1" applyBorder="1" applyAlignment="1">
      <alignment horizontal="center"/>
    </xf>
    <xf numFmtId="181" fontId="12" fillId="2" borderId="117" xfId="0" applyNumberFormat="1" applyFont="1" applyFill="1" applyBorder="1" applyAlignment="1">
      <alignment horizontal="center"/>
    </xf>
    <xf numFmtId="210" fontId="12" fillId="2" borderId="118" xfId="0" applyNumberFormat="1" applyFont="1" applyFill="1" applyBorder="1" applyAlignment="1">
      <alignment horizontal="center"/>
    </xf>
    <xf numFmtId="212" fontId="12" fillId="2" borderId="119" xfId="0" applyNumberFormat="1" applyFont="1" applyFill="1" applyBorder="1" applyAlignment="1" applyProtection="1">
      <alignment horizontal="center"/>
      <protection/>
    </xf>
    <xf numFmtId="0" fontId="12" fillId="25" borderId="13" xfId="0" applyFont="1" applyFill="1" applyBorder="1" applyAlignment="1" applyProtection="1">
      <alignment horizontal="center"/>
      <protection/>
    </xf>
    <xf numFmtId="0" fontId="12" fillId="25" borderId="120" xfId="0" applyFont="1" applyFill="1" applyBorder="1" applyAlignment="1" applyProtection="1">
      <alignment horizontal="center"/>
      <protection/>
    </xf>
    <xf numFmtId="0" fontId="12" fillId="25" borderId="21" xfId="0" applyFont="1" applyFill="1" applyBorder="1" applyAlignment="1" applyProtection="1">
      <alignment horizontal="center"/>
      <protection/>
    </xf>
    <xf numFmtId="1" fontId="1" fillId="25" borderId="83" xfId="0" applyNumberFormat="1" applyFont="1" applyFill="1" applyBorder="1" applyAlignment="1" applyProtection="1">
      <alignment horizontal="center"/>
      <protection/>
    </xf>
    <xf numFmtId="0" fontId="7" fillId="0" borderId="121" xfId="0" applyNumberFormat="1" applyFont="1" applyFill="1" applyBorder="1" applyAlignment="1" applyProtection="1">
      <alignment horizontal="center"/>
      <protection/>
    </xf>
    <xf numFmtId="0" fontId="7" fillId="0" borderId="122" xfId="0" applyNumberFormat="1" applyFont="1" applyFill="1" applyBorder="1" applyAlignment="1" applyProtection="1">
      <alignment horizontal="center"/>
      <protection/>
    </xf>
    <xf numFmtId="46" fontId="7" fillId="0" borderId="120" xfId="0" applyNumberFormat="1" applyFont="1" applyFill="1" applyBorder="1" applyAlignment="1" applyProtection="1">
      <alignment horizontal="center"/>
      <protection/>
    </xf>
    <xf numFmtId="46" fontId="7" fillId="0" borderId="88" xfId="0" applyNumberFormat="1" applyFont="1" applyFill="1" applyBorder="1" applyAlignment="1" applyProtection="1">
      <alignment horizontal="center"/>
      <protection/>
    </xf>
    <xf numFmtId="179" fontId="7" fillId="0" borderId="0" xfId="0" applyNumberFormat="1" applyFont="1" applyFill="1" applyBorder="1" applyAlignment="1" applyProtection="1">
      <alignment horizontal="center"/>
      <protection/>
    </xf>
    <xf numFmtId="46" fontId="7" fillId="0" borderId="123" xfId="0" applyNumberFormat="1" applyFont="1" applyBorder="1" applyAlignment="1" applyProtection="1">
      <alignment horizontal="center"/>
      <protection/>
    </xf>
    <xf numFmtId="46" fontId="7" fillId="0" borderId="124" xfId="0" applyNumberFormat="1" applyFont="1" applyBorder="1" applyAlignment="1" applyProtection="1">
      <alignment horizontal="center"/>
      <protection/>
    </xf>
    <xf numFmtId="179" fontId="7" fillId="0" borderId="0" xfId="0" applyNumberFormat="1" applyFont="1" applyBorder="1" applyAlignment="1" applyProtection="1">
      <alignment horizontal="center"/>
      <protection/>
    </xf>
    <xf numFmtId="46" fontId="7" fillId="0" borderId="123" xfId="0" applyNumberFormat="1" applyFont="1" applyFill="1" applyBorder="1" applyAlignment="1" applyProtection="1">
      <alignment horizontal="center"/>
      <protection/>
    </xf>
    <xf numFmtId="46" fontId="7" fillId="0" borderId="124" xfId="0" applyNumberFormat="1" applyFont="1" applyFill="1" applyBorder="1" applyAlignment="1" applyProtection="1">
      <alignment horizontal="center"/>
      <protection/>
    </xf>
    <xf numFmtId="46" fontId="7" fillId="0" borderId="83" xfId="0" applyNumberFormat="1" applyFont="1" applyFill="1" applyBorder="1" applyAlignment="1" applyProtection="1">
      <alignment horizontal="center"/>
      <protection/>
    </xf>
    <xf numFmtId="46" fontId="7" fillId="0" borderId="125" xfId="0" applyNumberFormat="1" applyFont="1" applyFill="1" applyBorder="1" applyAlignment="1" applyProtection="1">
      <alignment horizontal="center"/>
      <protection/>
    </xf>
    <xf numFmtId="0" fontId="1" fillId="15" borderId="57" xfId="0" applyFont="1" applyFill="1" applyBorder="1" applyAlignment="1">
      <alignment horizontal="center"/>
    </xf>
    <xf numFmtId="10" fontId="7" fillId="7" borderId="55" xfId="0" applyNumberFormat="1" applyFont="1" applyFill="1" applyBorder="1" applyAlignment="1">
      <alignment horizontal="center"/>
    </xf>
    <xf numFmtId="0" fontId="7" fillId="15" borderId="57" xfId="0" applyFont="1" applyFill="1" applyBorder="1" applyAlignment="1">
      <alignment horizontal="center"/>
    </xf>
    <xf numFmtId="208" fontId="7" fillId="7" borderId="55" xfId="0" applyNumberFormat="1" applyFont="1" applyFill="1" applyBorder="1" applyAlignment="1">
      <alignment horizontal="center"/>
    </xf>
    <xf numFmtId="46" fontId="7" fillId="7" borderId="55" xfId="0" applyNumberFormat="1" applyFont="1" applyFill="1" applyBorder="1" applyAlignment="1">
      <alignment horizontal="center"/>
    </xf>
    <xf numFmtId="211" fontId="12" fillId="2" borderId="126" xfId="0" applyNumberFormat="1" applyFont="1" applyFill="1" applyBorder="1" applyAlignment="1" applyProtection="1">
      <alignment horizontal="center"/>
      <protection/>
    </xf>
    <xf numFmtId="46" fontId="0" fillId="0" borderId="0" xfId="0" applyNumberFormat="1" applyAlignment="1" applyProtection="1">
      <alignment horizontal="center"/>
      <protection/>
    </xf>
    <xf numFmtId="46" fontId="0" fillId="0" borderId="0" xfId="0" applyNumberFormat="1" applyAlignment="1" applyProtection="1">
      <alignment/>
      <protection/>
    </xf>
    <xf numFmtId="0" fontId="7" fillId="0" borderId="0" xfId="0" applyNumberFormat="1" applyFont="1" applyFill="1" applyBorder="1" applyAlignment="1" applyProtection="1">
      <alignment horizontal="center"/>
      <protection/>
    </xf>
    <xf numFmtId="0" fontId="7" fillId="16" borderId="127" xfId="0" applyFont="1" applyFill="1" applyBorder="1" applyAlignment="1" applyProtection="1">
      <alignment horizontal="right"/>
      <protection/>
    </xf>
    <xf numFmtId="21" fontId="17" fillId="0" borderId="2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16" borderId="128" xfId="0" applyFont="1" applyFill="1" applyBorder="1" applyAlignment="1" applyProtection="1">
      <alignment horizontal="center"/>
      <protection/>
    </xf>
    <xf numFmtId="0" fontId="1" fillId="16" borderId="129" xfId="0" applyFont="1" applyFill="1" applyBorder="1" applyAlignment="1" applyProtection="1">
      <alignment horizontal="center"/>
      <protection/>
    </xf>
    <xf numFmtId="0" fontId="1" fillId="16" borderId="130" xfId="0" applyFont="1" applyFill="1" applyBorder="1" applyAlignment="1" applyProtection="1">
      <alignment horizontal="center"/>
      <protection/>
    </xf>
    <xf numFmtId="49" fontId="1" fillId="16" borderId="131" xfId="0" applyNumberFormat="1" applyFont="1" applyFill="1" applyBorder="1" applyAlignment="1" applyProtection="1">
      <alignment horizontal="center"/>
      <protection/>
    </xf>
    <xf numFmtId="49" fontId="7" fillId="16" borderId="129" xfId="0" applyNumberFormat="1" applyFont="1" applyFill="1" applyBorder="1" applyAlignment="1" applyProtection="1">
      <alignment horizontal="center"/>
      <protection/>
    </xf>
    <xf numFmtId="49" fontId="7" fillId="16" borderId="128" xfId="0" applyNumberFormat="1" applyFont="1" applyFill="1" applyBorder="1" applyAlignment="1" applyProtection="1">
      <alignment horizontal="center"/>
      <protection/>
    </xf>
    <xf numFmtId="49" fontId="7" fillId="16" borderId="132" xfId="0" applyNumberFormat="1" applyFont="1" applyFill="1" applyBorder="1" applyAlignment="1" applyProtection="1">
      <alignment horizontal="center"/>
      <protection/>
    </xf>
    <xf numFmtId="0" fontId="7" fillId="16" borderId="133" xfId="0" applyFont="1" applyFill="1" applyBorder="1" applyAlignment="1" applyProtection="1">
      <alignment horizontal="right"/>
      <protection/>
    </xf>
    <xf numFmtId="0" fontId="0" fillId="0" borderId="91" xfId="0" applyBorder="1" applyAlignment="1" applyProtection="1">
      <alignment/>
      <protection/>
    </xf>
    <xf numFmtId="0" fontId="17" fillId="0" borderId="125" xfId="0" applyFont="1" applyBorder="1" applyAlignment="1" applyProtection="1">
      <alignment horizontal="center"/>
      <protection locked="0"/>
    </xf>
    <xf numFmtId="0" fontId="0" fillId="0" borderId="46" xfId="0" applyFill="1" applyBorder="1" applyAlignment="1" applyProtection="1">
      <alignment/>
      <protection/>
    </xf>
    <xf numFmtId="49" fontId="17" fillId="0" borderId="134" xfId="0" applyNumberFormat="1" applyFont="1" applyBorder="1" applyAlignment="1" applyProtection="1">
      <alignment horizontal="center"/>
      <protection locked="0"/>
    </xf>
    <xf numFmtId="0" fontId="7" fillId="16" borderId="135" xfId="0" applyFont="1" applyFill="1" applyBorder="1" applyAlignment="1" applyProtection="1">
      <alignment/>
      <protection/>
    </xf>
    <xf numFmtId="20" fontId="1" fillId="16" borderId="46" xfId="0" applyNumberFormat="1" applyFont="1" applyFill="1" applyBorder="1" applyAlignment="1" applyProtection="1">
      <alignment horizontal="right"/>
      <protection/>
    </xf>
    <xf numFmtId="0" fontId="7" fillId="16" borderId="136" xfId="0" applyFont="1" applyFill="1" applyBorder="1" applyAlignment="1" applyProtection="1">
      <alignment horizontal="right"/>
      <protection/>
    </xf>
    <xf numFmtId="0" fontId="0" fillId="16" borderId="137" xfId="0" applyFont="1" applyFill="1" applyBorder="1" applyAlignment="1" applyProtection="1">
      <alignment horizontal="left"/>
      <protection/>
    </xf>
    <xf numFmtId="172" fontId="0" fillId="16" borderId="137" xfId="0" applyNumberFormat="1" applyFont="1" applyFill="1" applyBorder="1" applyAlignment="1" applyProtection="1">
      <alignment horizontal="left"/>
      <protection/>
    </xf>
    <xf numFmtId="1" fontId="0" fillId="16" borderId="137" xfId="0" applyNumberFormat="1" applyFont="1" applyFill="1" applyBorder="1" applyAlignment="1" applyProtection="1">
      <alignment horizontal="left"/>
      <protection/>
    </xf>
    <xf numFmtId="0" fontId="0" fillId="0" borderId="89" xfId="0" applyBorder="1" applyAlignment="1" applyProtection="1">
      <alignment/>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17" fillId="0" borderId="124" xfId="0" applyFont="1" applyFill="1" applyBorder="1" applyAlignment="1" applyProtection="1">
      <alignment horizontal="center"/>
      <protection locked="0"/>
    </xf>
    <xf numFmtId="0" fontId="20" fillId="16" borderId="60" xfId="0" applyFont="1" applyFill="1" applyBorder="1" applyAlignment="1" applyProtection="1">
      <alignment/>
      <protection locked="0"/>
    </xf>
    <xf numFmtId="215" fontId="17" fillId="0" borderId="138" xfId="0" applyNumberFormat="1" applyFont="1" applyFill="1" applyBorder="1" applyAlignment="1" applyProtection="1">
      <alignment horizontal="center"/>
      <protection locked="0"/>
    </xf>
    <xf numFmtId="46" fontId="8" fillId="25" borderId="61" xfId="0" applyNumberFormat="1" applyFont="1" applyFill="1" applyBorder="1" applyAlignment="1" applyProtection="1">
      <alignment horizontal="center" vertical="center"/>
      <protection/>
    </xf>
    <xf numFmtId="21" fontId="1" fillId="16" borderId="137" xfId="0" applyNumberFormat="1" applyFont="1" applyFill="1" applyBorder="1" applyAlignment="1" applyProtection="1">
      <alignment horizontal="center"/>
      <protection/>
    </xf>
    <xf numFmtId="0" fontId="12" fillId="16" borderId="48" xfId="0" applyFont="1" applyFill="1" applyBorder="1" applyAlignment="1" applyProtection="1">
      <alignment horizontal="center" vertical="center"/>
      <protection/>
    </xf>
    <xf numFmtId="172" fontId="17" fillId="16" borderId="114" xfId="0" applyNumberFormat="1" applyFont="1" applyFill="1" applyBorder="1" applyAlignment="1" applyProtection="1">
      <alignment horizontal="center"/>
      <protection/>
    </xf>
    <xf numFmtId="0" fontId="12" fillId="16" borderId="139" xfId="0" applyFont="1" applyFill="1" applyBorder="1" applyAlignment="1" applyProtection="1">
      <alignment horizontal="center"/>
      <protection/>
    </xf>
    <xf numFmtId="173" fontId="8" fillId="16" borderId="140" xfId="0" applyNumberFormat="1" applyFont="1" applyFill="1" applyBorder="1" applyAlignment="1" applyProtection="1">
      <alignment horizontal="center"/>
      <protection/>
    </xf>
    <xf numFmtId="0" fontId="12" fillId="16" borderId="27" xfId="0" applyFont="1" applyFill="1" applyBorder="1" applyAlignment="1" applyProtection="1">
      <alignment horizontal="center"/>
      <protection/>
    </xf>
    <xf numFmtId="0" fontId="21" fillId="16" borderId="113" xfId="0" applyFont="1" applyFill="1" applyBorder="1" applyAlignment="1" applyProtection="1">
      <alignment horizontal="center"/>
      <protection/>
    </xf>
    <xf numFmtId="173" fontId="8" fillId="16" borderId="141" xfId="0" applyNumberFormat="1" applyFont="1" applyFill="1" applyBorder="1" applyAlignment="1" applyProtection="1">
      <alignment horizontal="center"/>
      <protection/>
    </xf>
    <xf numFmtId="0" fontId="12" fillId="16" borderId="69" xfId="0" applyFont="1" applyFill="1" applyBorder="1" applyAlignment="1" applyProtection="1">
      <alignment horizontal="center"/>
      <protection/>
    </xf>
    <xf numFmtId="21" fontId="7" fillId="2" borderId="68" xfId="0" applyNumberFormat="1" applyFont="1" applyFill="1" applyBorder="1" applyAlignment="1" applyProtection="1">
      <alignment/>
      <protection/>
    </xf>
    <xf numFmtId="219" fontId="24" fillId="0" borderId="142" xfId="0" applyNumberFormat="1" applyFont="1" applyFill="1" applyBorder="1" applyAlignment="1" applyProtection="1">
      <alignment horizontal="center"/>
      <protection locked="0"/>
    </xf>
    <xf numFmtId="0" fontId="0" fillId="0" borderId="12" xfId="0" applyFill="1" applyBorder="1" applyAlignment="1" applyProtection="1">
      <alignment horizontal="center"/>
      <protection/>
    </xf>
    <xf numFmtId="0" fontId="8" fillId="0" borderId="143" xfId="0" applyFont="1" applyFill="1" applyBorder="1" applyAlignment="1">
      <alignment horizontal="center"/>
    </xf>
    <xf numFmtId="0" fontId="7" fillId="16" borderId="144" xfId="0" applyFont="1" applyFill="1" applyBorder="1" applyAlignment="1" applyProtection="1">
      <alignment horizontal="right" vertical="center"/>
      <protection/>
    </xf>
    <xf numFmtId="0" fontId="17" fillId="0" borderId="145" xfId="0" applyFont="1" applyFill="1" applyBorder="1" applyAlignment="1" applyProtection="1">
      <alignment horizontal="center" vertical="center"/>
      <protection locked="0"/>
    </xf>
    <xf numFmtId="0" fontId="7" fillId="16" borderId="146" xfId="0" applyFont="1" applyFill="1" applyBorder="1" applyAlignment="1" applyProtection="1">
      <alignment horizontal="right" vertical="center"/>
      <protection/>
    </xf>
    <xf numFmtId="0" fontId="20" fillId="16" borderId="21" xfId="0" applyFont="1" applyFill="1" applyBorder="1" applyAlignment="1" applyProtection="1">
      <alignment/>
      <protection locked="0"/>
    </xf>
    <xf numFmtId="0" fontId="20" fillId="16" borderId="22" xfId="0" applyFont="1" applyFill="1" applyBorder="1" applyAlignment="1" applyProtection="1">
      <alignment horizontal="center"/>
      <protection locked="0"/>
    </xf>
    <xf numFmtId="1" fontId="34" fillId="0" borderId="64" xfId="0" applyNumberFormat="1" applyFont="1" applyFill="1" applyBorder="1" applyAlignment="1" applyProtection="1">
      <alignment horizontal="center"/>
      <protection/>
    </xf>
    <xf numFmtId="46" fontId="8" fillId="25" borderId="147" xfId="0" applyNumberFormat="1" applyFont="1" applyFill="1" applyBorder="1" applyAlignment="1" applyProtection="1">
      <alignment horizontal="center" vertical="center"/>
      <protection/>
    </xf>
    <xf numFmtId="0" fontId="12" fillId="16" borderId="148" xfId="0" applyFont="1" applyFill="1" applyBorder="1" applyAlignment="1" applyProtection="1">
      <alignment horizontal="center"/>
      <protection/>
    </xf>
    <xf numFmtId="0" fontId="7" fillId="14" borderId="31" xfId="0" applyNumberFormat="1" applyFont="1" applyFill="1" applyBorder="1" applyAlignment="1" applyProtection="1">
      <alignment horizontal="center"/>
      <protection/>
    </xf>
    <xf numFmtId="0" fontId="7" fillId="14" borderId="14" xfId="0" applyNumberFormat="1" applyFont="1" applyFill="1" applyBorder="1" applyAlignment="1" applyProtection="1">
      <alignment horizontal="center"/>
      <protection/>
    </xf>
    <xf numFmtId="0" fontId="7" fillId="14" borderId="62" xfId="0" applyNumberFormat="1" applyFont="1" applyFill="1" applyBorder="1" applyAlignment="1" applyProtection="1">
      <alignment horizontal="center"/>
      <protection/>
    </xf>
    <xf numFmtId="172" fontId="7" fillId="14" borderId="34" xfId="0" applyNumberFormat="1" applyFont="1" applyFill="1" applyBorder="1" applyAlignment="1" applyProtection="1">
      <alignment horizontal="center"/>
      <protection/>
    </xf>
    <xf numFmtId="213" fontId="17" fillId="0" borderId="149" xfId="0" applyNumberFormat="1" applyFont="1" applyFill="1" applyBorder="1" applyAlignment="1" applyProtection="1">
      <alignment horizontal="right"/>
      <protection locked="0"/>
    </xf>
    <xf numFmtId="0" fontId="0" fillId="8" borderId="89" xfId="0" applyFill="1" applyBorder="1" applyAlignment="1" applyProtection="1">
      <alignment/>
      <protection/>
    </xf>
    <xf numFmtId="0" fontId="9" fillId="0" borderId="0" xfId="0" applyFont="1" applyBorder="1" applyAlignment="1" applyProtection="1">
      <alignment/>
      <protection/>
    </xf>
    <xf numFmtId="0" fontId="1" fillId="8" borderId="133" xfId="0" applyFont="1" applyFill="1" applyBorder="1" applyAlignment="1" applyProtection="1">
      <alignment horizontal="center"/>
      <protection/>
    </xf>
    <xf numFmtId="0" fontId="1" fillId="27" borderId="67" xfId="0" applyFont="1" applyFill="1" applyBorder="1" applyAlignment="1" applyProtection="1">
      <alignment/>
      <protection/>
    </xf>
    <xf numFmtId="214" fontId="36" fillId="27" borderId="150" xfId="0" applyNumberFormat="1" applyFont="1" applyFill="1" applyBorder="1" applyAlignment="1" applyProtection="1">
      <alignment/>
      <protection/>
    </xf>
    <xf numFmtId="213" fontId="17" fillId="0" borderId="151" xfId="0" applyNumberFormat="1" applyFont="1" applyFill="1" applyBorder="1" applyAlignment="1" applyProtection="1">
      <alignment horizontal="center"/>
      <protection locked="0"/>
    </xf>
    <xf numFmtId="0" fontId="1" fillId="8" borderId="86" xfId="0" applyFont="1" applyFill="1" applyBorder="1" applyAlignment="1" applyProtection="1">
      <alignment horizontal="center"/>
      <protection/>
    </xf>
    <xf numFmtId="0" fontId="1" fillId="27" borderId="0" xfId="0" applyFont="1" applyFill="1" applyBorder="1" applyAlignment="1" applyProtection="1">
      <alignment horizontal="center"/>
      <protection/>
    </xf>
    <xf numFmtId="221" fontId="23" fillId="8" borderId="150" xfId="0" applyNumberFormat="1" applyFont="1" applyFill="1" applyBorder="1" applyAlignment="1" applyProtection="1">
      <alignment horizontal="center" vertical="center"/>
      <protection/>
    </xf>
    <xf numFmtId="46" fontId="7" fillId="27" borderId="39" xfId="0" applyNumberFormat="1" applyFont="1" applyFill="1" applyBorder="1" applyAlignment="1" applyProtection="1">
      <alignment horizontal="center"/>
      <protection/>
    </xf>
    <xf numFmtId="46" fontId="7" fillId="27" borderId="152" xfId="0" applyNumberFormat="1" applyFont="1" applyFill="1" applyBorder="1" applyAlignment="1" applyProtection="1">
      <alignment horizontal="center"/>
      <protection/>
    </xf>
    <xf numFmtId="214" fontId="9" fillId="27" borderId="12" xfId="0" applyNumberFormat="1" applyFont="1" applyFill="1" applyBorder="1" applyAlignment="1" applyProtection="1">
      <alignment horizontal="center"/>
      <protection/>
    </xf>
    <xf numFmtId="21" fontId="8" fillId="25" borderId="57" xfId="0" applyNumberFormat="1" applyFont="1" applyFill="1" applyBorder="1" applyAlignment="1" applyProtection="1">
      <alignment horizontal="center"/>
      <protection/>
    </xf>
    <xf numFmtId="0" fontId="0" fillId="0" borderId="90" xfId="0" applyBorder="1" applyAlignment="1" applyProtection="1">
      <alignment/>
      <protection/>
    </xf>
    <xf numFmtId="0" fontId="1" fillId="15" borderId="153" xfId="0" applyFont="1" applyFill="1" applyBorder="1" applyAlignment="1">
      <alignment horizontal="center"/>
    </xf>
    <xf numFmtId="172" fontId="17" fillId="0" borderId="53" xfId="0" applyNumberFormat="1" applyFont="1" applyBorder="1" applyAlignment="1" applyProtection="1">
      <alignment horizontal="center"/>
      <protection locked="0"/>
    </xf>
    <xf numFmtId="0" fontId="7" fillId="15" borderId="153" xfId="0" applyFont="1" applyFill="1" applyBorder="1" applyAlignment="1">
      <alignment horizontal="center"/>
    </xf>
    <xf numFmtId="0" fontId="17" fillId="0" borderId="53" xfId="0" applyNumberFormat="1" applyFont="1" applyBorder="1" applyAlignment="1" applyProtection="1">
      <alignment horizontal="center"/>
      <protection locked="0"/>
    </xf>
    <xf numFmtId="0" fontId="17" fillId="0" borderId="149" xfId="0" applyNumberFormat="1" applyFont="1" applyBorder="1" applyAlignment="1" applyProtection="1">
      <alignment horizontal="center"/>
      <protection locked="0"/>
    </xf>
    <xf numFmtId="175" fontId="17" fillId="0" borderId="154" xfId="0" applyNumberFormat="1" applyFont="1" applyBorder="1" applyAlignment="1" applyProtection="1">
      <alignment horizontal="center"/>
      <protection locked="0"/>
    </xf>
    <xf numFmtId="46" fontId="7" fillId="7" borderId="155" xfId="0" applyNumberFormat="1" applyFont="1" applyFill="1" applyBorder="1" applyAlignment="1">
      <alignment horizontal="center"/>
    </xf>
    <xf numFmtId="172" fontId="17" fillId="0" borderId="149" xfId="0" applyNumberFormat="1" applyFont="1" applyBorder="1" applyAlignment="1" applyProtection="1">
      <alignment horizontal="center"/>
      <protection locked="0"/>
    </xf>
    <xf numFmtId="21" fontId="17" fillId="0" borderId="154" xfId="0" applyNumberFormat="1" applyFont="1" applyBorder="1" applyAlignment="1" applyProtection="1">
      <alignment horizontal="center"/>
      <protection locked="0"/>
    </xf>
    <xf numFmtId="209" fontId="7" fillId="7" borderId="155" xfId="0" applyNumberFormat="1" applyFont="1" applyFill="1" applyBorder="1" applyAlignment="1">
      <alignment horizontal="center"/>
    </xf>
    <xf numFmtId="190" fontId="37" fillId="11" borderId="156" xfId="0" applyNumberFormat="1" applyFont="1" applyFill="1" applyBorder="1" applyAlignment="1" applyProtection="1">
      <alignment/>
      <protection locked="0"/>
    </xf>
    <xf numFmtId="21" fontId="8" fillId="25" borderId="157" xfId="0" applyNumberFormat="1" applyFont="1" applyFill="1" applyBorder="1" applyAlignment="1" applyProtection="1">
      <alignment horizontal="center"/>
      <protection/>
    </xf>
    <xf numFmtId="0" fontId="0" fillId="8" borderId="90" xfId="0" applyFill="1" applyBorder="1" applyAlignment="1" applyProtection="1">
      <alignment/>
      <protection/>
    </xf>
    <xf numFmtId="0" fontId="38" fillId="8" borderId="89" xfId="0" applyFont="1" applyFill="1" applyBorder="1" applyAlignment="1" applyProtection="1">
      <alignment/>
      <protection locked="0"/>
    </xf>
    <xf numFmtId="0" fontId="0" fillId="8" borderId="158" xfId="0" applyFill="1" applyBorder="1" applyAlignment="1" applyProtection="1">
      <alignment/>
      <protection/>
    </xf>
    <xf numFmtId="21" fontId="8" fillId="25" borderId="157" xfId="0" applyNumberFormat="1" applyFont="1" applyFill="1" applyBorder="1" applyAlignment="1" applyProtection="1">
      <alignment horizontal="center" vertical="center"/>
      <protection/>
    </xf>
    <xf numFmtId="21" fontId="7" fillId="25" borderId="159" xfId="0" applyNumberFormat="1" applyFont="1" applyFill="1" applyBorder="1" applyAlignment="1" applyProtection="1">
      <alignment horizontal="center" vertical="center"/>
      <protection/>
    </xf>
    <xf numFmtId="180" fontId="7" fillId="25" borderId="159" xfId="0" applyNumberFormat="1" applyFont="1" applyFill="1" applyBorder="1" applyAlignment="1" applyProtection="1">
      <alignment horizontal="center"/>
      <protection/>
    </xf>
    <xf numFmtId="222" fontId="23" fillId="8" borderId="68" xfId="0" applyNumberFormat="1" applyFont="1" applyFill="1" applyBorder="1" applyAlignment="1" applyProtection="1">
      <alignment horizontal="left"/>
      <protection/>
    </xf>
    <xf numFmtId="0" fontId="7" fillId="14" borderId="113" xfId="0" applyNumberFormat="1" applyFont="1" applyFill="1" applyBorder="1" applyAlignment="1" applyProtection="1">
      <alignment/>
      <protection/>
    </xf>
    <xf numFmtId="0" fontId="7" fillId="14" borderId="139" xfId="0" applyNumberFormat="1" applyFont="1" applyFill="1" applyBorder="1" applyAlignment="1" applyProtection="1">
      <alignment/>
      <protection/>
    </xf>
    <xf numFmtId="172" fontId="7" fillId="14" borderId="160" xfId="0" applyNumberFormat="1" applyFont="1" applyFill="1" applyBorder="1" applyAlignment="1" applyProtection="1">
      <alignment horizontal="center"/>
      <protection/>
    </xf>
    <xf numFmtId="172" fontId="7" fillId="14" borderId="48" xfId="0" applyNumberFormat="1" applyFont="1" applyFill="1" applyBorder="1" applyAlignment="1" applyProtection="1">
      <alignment horizontal="center"/>
      <protection/>
    </xf>
    <xf numFmtId="172" fontId="7" fillId="14" borderId="113" xfId="0" applyNumberFormat="1" applyFont="1" applyFill="1" applyBorder="1" applyAlignment="1" applyProtection="1">
      <alignment horizontal="center"/>
      <protection/>
    </xf>
    <xf numFmtId="172" fontId="7" fillId="14" borderId="161" xfId="0" applyNumberFormat="1" applyFont="1" applyFill="1" applyBorder="1" applyAlignment="1" applyProtection="1">
      <alignment horizontal="center"/>
      <protection/>
    </xf>
    <xf numFmtId="177" fontId="1" fillId="27" borderId="162" xfId="0" applyNumberFormat="1" applyFont="1" applyFill="1" applyBorder="1" applyAlignment="1" applyProtection="1">
      <alignment vertical="center"/>
      <protection/>
    </xf>
    <xf numFmtId="177" fontId="1" fillId="27" borderId="64" xfId="0" applyNumberFormat="1" applyFont="1" applyFill="1" applyBorder="1" applyAlignment="1" applyProtection="1">
      <alignment vertical="center"/>
      <protection/>
    </xf>
    <xf numFmtId="173" fontId="1" fillId="27" borderId="163" xfId="0" applyNumberFormat="1" applyFont="1" applyFill="1" applyBorder="1" applyAlignment="1" applyProtection="1">
      <alignment horizontal="center" vertical="center"/>
      <protection/>
    </xf>
    <xf numFmtId="173" fontId="1" fillId="27" borderId="7" xfId="0" applyNumberFormat="1" applyFont="1" applyFill="1" applyBorder="1" applyAlignment="1" applyProtection="1">
      <alignment horizontal="center" vertical="center"/>
      <protection/>
    </xf>
    <xf numFmtId="173" fontId="1" fillId="27" borderId="164" xfId="0" applyNumberFormat="1" applyFont="1" applyFill="1" applyBorder="1" applyAlignment="1" applyProtection="1">
      <alignment horizontal="center" vertical="center"/>
      <protection/>
    </xf>
    <xf numFmtId="0" fontId="19" fillId="16" borderId="60" xfId="0" applyFont="1" applyFill="1" applyBorder="1" applyAlignment="1" applyProtection="1">
      <alignment/>
      <protection locked="0"/>
    </xf>
    <xf numFmtId="197" fontId="1" fillId="16" borderId="56" xfId="0" applyNumberFormat="1" applyFont="1" applyFill="1" applyBorder="1" applyAlignment="1" applyProtection="1">
      <alignment horizontal="center"/>
      <protection/>
    </xf>
    <xf numFmtId="197" fontId="1" fillId="16" borderId="60" xfId="0" applyNumberFormat="1" applyFont="1" applyFill="1" applyBorder="1" applyAlignment="1" applyProtection="1">
      <alignment horizontal="center"/>
      <protection/>
    </xf>
    <xf numFmtId="172" fontId="1" fillId="4" borderId="51" xfId="0" applyNumberFormat="1" applyFont="1" applyFill="1" applyBorder="1" applyAlignment="1" applyProtection="1">
      <alignment horizontal="center"/>
      <protection/>
    </xf>
    <xf numFmtId="172" fontId="1" fillId="4" borderId="57" xfId="0" applyNumberFormat="1" applyFont="1" applyFill="1" applyBorder="1" applyAlignment="1" applyProtection="1">
      <alignment horizontal="center"/>
      <protection/>
    </xf>
    <xf numFmtId="178" fontId="1" fillId="4" borderId="54" xfId="0" applyNumberFormat="1" applyFont="1" applyFill="1" applyBorder="1" applyAlignment="1" applyProtection="1">
      <alignment horizontal="center"/>
      <protection/>
    </xf>
    <xf numFmtId="178" fontId="1" fillId="4" borderId="55" xfId="0" applyNumberFormat="1" applyFont="1" applyFill="1" applyBorder="1" applyAlignment="1" applyProtection="1">
      <alignment horizontal="center"/>
      <protection/>
    </xf>
    <xf numFmtId="181" fontId="9" fillId="2" borderId="165" xfId="0" applyNumberFormat="1" applyFont="1" applyFill="1" applyBorder="1" applyAlignment="1">
      <alignment horizontal="center"/>
    </xf>
    <xf numFmtId="0" fontId="0" fillId="0" borderId="166" xfId="0" applyBorder="1" applyAlignment="1" applyProtection="1">
      <alignment/>
      <protection/>
    </xf>
    <xf numFmtId="46" fontId="7" fillId="7" borderId="151" xfId="0" applyNumberFormat="1" applyFont="1" applyFill="1" applyBorder="1" applyAlignment="1" applyProtection="1">
      <alignment horizontal="center"/>
      <protection/>
    </xf>
    <xf numFmtId="180" fontId="7" fillId="7" borderId="72" xfId="0" applyNumberFormat="1" applyFont="1" applyFill="1" applyBorder="1" applyAlignment="1" applyProtection="1">
      <alignment horizontal="center"/>
      <protection/>
    </xf>
    <xf numFmtId="173" fontId="17" fillId="0" borderId="64" xfId="0" applyNumberFormat="1" applyFont="1" applyBorder="1" applyAlignment="1" applyProtection="1">
      <alignment horizontal="center"/>
      <protection locked="0"/>
    </xf>
    <xf numFmtId="0" fontId="0" fillId="0" borderId="0" xfId="0" applyNumberFormat="1" applyBorder="1" applyAlignment="1" applyProtection="1">
      <alignment/>
      <protection/>
    </xf>
    <xf numFmtId="0" fontId="12" fillId="25" borderId="167" xfId="0" applyFont="1" applyFill="1" applyBorder="1" applyAlignment="1" applyProtection="1">
      <alignment horizontal="center"/>
      <protection/>
    </xf>
    <xf numFmtId="1" fontId="1" fillId="25" borderId="72" xfId="0" applyNumberFormat="1" applyFont="1" applyFill="1" applyBorder="1" applyAlignment="1" applyProtection="1">
      <alignment horizontal="center"/>
      <protection/>
    </xf>
    <xf numFmtId="21" fontId="0" fillId="0" borderId="39" xfId="0" applyNumberFormat="1" applyBorder="1" applyAlignment="1" applyProtection="1">
      <alignment/>
      <protection/>
    </xf>
    <xf numFmtId="0" fontId="32" fillId="24" borderId="7" xfId="0" applyFont="1" applyFill="1" applyBorder="1" applyAlignment="1" applyProtection="1">
      <alignment horizontal="center"/>
      <protection locked="0"/>
    </xf>
    <xf numFmtId="0" fontId="32" fillId="24" borderId="168" xfId="0" applyFont="1" applyFill="1" applyBorder="1" applyAlignment="1" applyProtection="1">
      <alignment horizontal="center"/>
      <protection locked="0"/>
    </xf>
    <xf numFmtId="0" fontId="21" fillId="16" borderId="169" xfId="0" applyFont="1" applyFill="1" applyBorder="1" applyAlignment="1" applyProtection="1">
      <alignment horizontal="center"/>
      <protection locked="0"/>
    </xf>
    <xf numFmtId="175" fontId="17" fillId="0" borderId="66" xfId="0" applyNumberFormat="1" applyFont="1" applyBorder="1" applyAlignment="1" applyProtection="1">
      <alignment horizontal="center"/>
      <protection locked="0"/>
    </xf>
    <xf numFmtId="197" fontId="23" fillId="16" borderId="56"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12" fillId="16" borderId="170" xfId="0" applyFont="1" applyFill="1" applyBorder="1" applyAlignment="1" applyProtection="1">
      <alignment horizontal="center"/>
      <protection/>
    </xf>
    <xf numFmtId="20" fontId="1" fillId="16" borderId="171" xfId="0" applyNumberFormat="1" applyFont="1" applyFill="1" applyBorder="1" applyAlignment="1">
      <alignment horizontal="center"/>
    </xf>
    <xf numFmtId="0" fontId="1" fillId="14" borderId="56" xfId="0" applyFont="1" applyFill="1" applyBorder="1" applyAlignment="1" applyProtection="1">
      <alignment horizontal="center"/>
      <protection/>
    </xf>
    <xf numFmtId="9" fontId="1" fillId="14" borderId="56" xfId="0" applyNumberFormat="1" applyFont="1" applyFill="1" applyBorder="1" applyAlignment="1" applyProtection="1">
      <alignment horizontal="center"/>
      <protection/>
    </xf>
    <xf numFmtId="9" fontId="1" fillId="14" borderId="60" xfId="0" applyNumberFormat="1" applyFont="1" applyFill="1" applyBorder="1" applyAlignment="1" applyProtection="1">
      <alignment horizontal="center"/>
      <protection/>
    </xf>
    <xf numFmtId="0" fontId="1" fillId="14" borderId="162" xfId="0" applyFont="1" applyFill="1" applyBorder="1" applyAlignment="1" applyProtection="1">
      <alignment horizontal="right"/>
      <protection/>
    </xf>
    <xf numFmtId="0" fontId="43" fillId="14" borderId="137" xfId="0" applyFont="1" applyFill="1" applyBorder="1" applyAlignment="1" applyProtection="1">
      <alignment horizontal="right"/>
      <protection locked="0"/>
    </xf>
    <xf numFmtId="0" fontId="23" fillId="0" borderId="89" xfId="0" applyFont="1" applyBorder="1" applyAlignment="1" applyProtection="1">
      <alignment horizontal="center"/>
      <protection/>
    </xf>
    <xf numFmtId="198" fontId="7" fillId="3" borderId="172" xfId="0" applyNumberFormat="1" applyFont="1" applyFill="1" applyBorder="1" applyAlignment="1" applyProtection="1">
      <alignment horizontal="center"/>
      <protection/>
    </xf>
    <xf numFmtId="223" fontId="1" fillId="3" borderId="173" xfId="0" applyNumberFormat="1" applyFont="1" applyFill="1" applyBorder="1" applyAlignment="1" applyProtection="1">
      <alignment horizontal="center"/>
      <protection/>
    </xf>
    <xf numFmtId="208" fontId="1" fillId="3" borderId="174" xfId="0" applyNumberFormat="1" applyFont="1" applyFill="1" applyBorder="1" applyAlignment="1" applyProtection="1">
      <alignment horizontal="center"/>
      <protection/>
    </xf>
    <xf numFmtId="208" fontId="1" fillId="3" borderId="175" xfId="0" applyNumberFormat="1" applyFont="1" applyFill="1" applyBorder="1" applyAlignment="1" applyProtection="1">
      <alignment horizontal="center"/>
      <protection/>
    </xf>
    <xf numFmtId="209" fontId="1" fillId="3" borderId="174" xfId="0" applyNumberFormat="1" applyFont="1" applyFill="1" applyBorder="1" applyAlignment="1" applyProtection="1">
      <alignment horizontal="center"/>
      <protection/>
    </xf>
    <xf numFmtId="209" fontId="1" fillId="3" borderId="175" xfId="0" applyNumberFormat="1" applyFont="1" applyFill="1" applyBorder="1" applyAlignment="1" applyProtection="1">
      <alignment horizontal="center"/>
      <protection/>
    </xf>
    <xf numFmtId="188" fontId="44" fillId="0" borderId="153" xfId="0" applyNumberFormat="1" applyFont="1" applyBorder="1" applyAlignment="1" applyProtection="1">
      <alignment horizontal="center"/>
      <protection locked="0"/>
    </xf>
    <xf numFmtId="206" fontId="44" fillId="0" borderId="85" xfId="0" applyNumberFormat="1" applyFont="1" applyBorder="1" applyAlignment="1" applyProtection="1">
      <alignment horizontal="center"/>
      <protection locked="0"/>
    </xf>
    <xf numFmtId="184" fontId="44" fillId="0" borderId="176" xfId="0" applyNumberFormat="1" applyFont="1" applyBorder="1" applyAlignment="1" applyProtection="1">
      <alignment horizontal="center"/>
      <protection locked="0"/>
    </xf>
    <xf numFmtId="185" fontId="44" fillId="0" borderId="53" xfId="0" applyNumberFormat="1" applyFont="1" applyBorder="1" applyAlignment="1" applyProtection="1">
      <alignment horizontal="center"/>
      <protection locked="0"/>
    </xf>
    <xf numFmtId="189" fontId="44" fillId="0" borderId="153" xfId="0" applyNumberFormat="1" applyFont="1" applyBorder="1" applyAlignment="1" applyProtection="1">
      <alignment horizontal="center"/>
      <protection locked="0"/>
    </xf>
    <xf numFmtId="186" fontId="44" fillId="0" borderId="176" xfId="0" applyNumberFormat="1" applyFont="1" applyBorder="1" applyAlignment="1" applyProtection="1">
      <alignment horizontal="center"/>
      <protection locked="0"/>
    </xf>
    <xf numFmtId="187" fontId="44" fillId="0" borderId="86" xfId="0" applyNumberFormat="1" applyFont="1" applyBorder="1" applyAlignment="1" applyProtection="1">
      <alignment horizontal="center"/>
      <protection locked="0"/>
    </xf>
    <xf numFmtId="224" fontId="44" fillId="0" borderId="85" xfId="0" applyNumberFormat="1" applyFont="1" applyBorder="1" applyAlignment="1" applyProtection="1">
      <alignment horizontal="center"/>
      <protection locked="0"/>
    </xf>
    <xf numFmtId="223" fontId="44" fillId="0" borderId="53" xfId="0" applyNumberFormat="1" applyFont="1" applyBorder="1" applyAlignment="1" applyProtection="1">
      <alignment horizontal="center"/>
      <protection locked="0"/>
    </xf>
    <xf numFmtId="207" fontId="44" fillId="0" borderId="153" xfId="0" applyNumberFormat="1" applyFont="1" applyBorder="1" applyAlignment="1" applyProtection="1">
      <alignment horizontal="center"/>
      <protection locked="0"/>
    </xf>
    <xf numFmtId="225" fontId="44" fillId="0" borderId="176" xfId="0" applyNumberFormat="1" applyFont="1" applyBorder="1" applyAlignment="1" applyProtection="1">
      <alignment horizontal="center"/>
      <protection locked="0"/>
    </xf>
    <xf numFmtId="207" fontId="44" fillId="0" borderId="176" xfId="0" applyNumberFormat="1" applyFont="1" applyBorder="1" applyAlignment="1" applyProtection="1">
      <alignment horizontal="center"/>
      <protection locked="0"/>
    </xf>
    <xf numFmtId="0" fontId="0" fillId="0" borderId="0" xfId="0" applyBorder="1" applyAlignment="1" applyProtection="1">
      <alignment horizontal="right"/>
      <protection/>
    </xf>
    <xf numFmtId="173" fontId="7" fillId="8" borderId="177" xfId="0" applyNumberFormat="1" applyFont="1" applyFill="1" applyBorder="1" applyAlignment="1" applyProtection="1">
      <alignment horizontal="center"/>
      <protection/>
    </xf>
    <xf numFmtId="173" fontId="1" fillId="8" borderId="178" xfId="0" applyNumberFormat="1" applyFont="1" applyFill="1" applyBorder="1" applyAlignment="1" applyProtection="1">
      <alignment horizontal="center"/>
      <protection/>
    </xf>
    <xf numFmtId="1" fontId="7" fillId="8" borderId="23" xfId="0" applyNumberFormat="1" applyFont="1" applyFill="1" applyBorder="1" applyAlignment="1" applyProtection="1">
      <alignment horizontal="center"/>
      <protection/>
    </xf>
    <xf numFmtId="1" fontId="7" fillId="8" borderId="179" xfId="0" applyNumberFormat="1" applyFont="1" applyFill="1" applyBorder="1" applyAlignment="1" applyProtection="1">
      <alignment horizontal="center"/>
      <protection/>
    </xf>
    <xf numFmtId="1" fontId="7" fillId="8" borderId="44" xfId="0" applyNumberFormat="1" applyFont="1" applyFill="1" applyBorder="1" applyAlignment="1" applyProtection="1">
      <alignment horizontal="center"/>
      <protection/>
    </xf>
    <xf numFmtId="1" fontId="7" fillId="8" borderId="180" xfId="0" applyNumberFormat="1" applyFont="1" applyFill="1" applyBorder="1" applyAlignment="1" applyProtection="1">
      <alignment horizontal="center"/>
      <protection/>
    </xf>
    <xf numFmtId="173" fontId="1" fillId="8" borderId="27" xfId="0" applyNumberFormat="1" applyFont="1" applyFill="1" applyBorder="1" applyAlignment="1" applyProtection="1">
      <alignment horizontal="center" vertical="center"/>
      <protection/>
    </xf>
    <xf numFmtId="173" fontId="1" fillId="8" borderId="181" xfId="0" applyNumberFormat="1" applyFont="1" applyFill="1" applyBorder="1" applyAlignment="1" applyProtection="1">
      <alignment horizontal="center" vertical="center"/>
      <protection/>
    </xf>
    <xf numFmtId="173" fontId="1" fillId="8" borderId="29" xfId="0" applyNumberFormat="1" applyFont="1" applyFill="1" applyBorder="1" applyAlignment="1" applyProtection="1">
      <alignment horizontal="center" vertical="center"/>
      <protection/>
    </xf>
    <xf numFmtId="173" fontId="1" fillId="8" borderId="32"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6" fillId="24" borderId="0" xfId="0" applyFont="1" applyFill="1" applyBorder="1" applyAlignment="1" applyProtection="1">
      <alignment/>
      <protection/>
    </xf>
    <xf numFmtId="0" fontId="7" fillId="16" borderId="182" xfId="0" applyFont="1" applyFill="1" applyBorder="1" applyAlignment="1" applyProtection="1">
      <alignment horizontal="right"/>
      <protection/>
    </xf>
    <xf numFmtId="0" fontId="7" fillId="16" borderId="183" xfId="0" applyFont="1" applyFill="1" applyBorder="1" applyAlignment="1" applyProtection="1">
      <alignment horizontal="right"/>
      <protection/>
    </xf>
    <xf numFmtId="0" fontId="17" fillId="0" borderId="184" xfId="0" applyFont="1" applyBorder="1" applyAlignment="1" applyProtection="1">
      <alignment horizontal="center"/>
      <protection locked="0"/>
    </xf>
    <xf numFmtId="0" fontId="1" fillId="16" borderId="0" xfId="0" applyFont="1" applyFill="1" applyBorder="1" applyAlignment="1" applyProtection="1">
      <alignment horizontal="right"/>
      <protection/>
    </xf>
    <xf numFmtId="14" fontId="46" fillId="0" borderId="145" xfId="0" applyNumberFormat="1" applyFont="1" applyFill="1" applyBorder="1" applyAlignment="1" applyProtection="1">
      <alignment horizontal="center" vertical="center"/>
      <protection locked="0"/>
    </xf>
    <xf numFmtId="0" fontId="21" fillId="0" borderId="185" xfId="0" applyFont="1" applyBorder="1" applyAlignment="1" applyProtection="1">
      <alignment horizontal="left" vertical="top"/>
      <protection/>
    </xf>
    <xf numFmtId="0" fontId="47" fillId="0" borderId="0" xfId="0" applyFont="1" applyBorder="1" applyAlignment="1" applyProtection="1">
      <alignment horizontal="right"/>
      <protection/>
    </xf>
    <xf numFmtId="0" fontId="47" fillId="0" borderId="39" xfId="0" applyFont="1" applyBorder="1" applyAlignment="1" applyProtection="1">
      <alignment/>
      <protection/>
    </xf>
    <xf numFmtId="0" fontId="12" fillId="16" borderId="186" xfId="0" applyFont="1" applyFill="1" applyBorder="1" applyAlignment="1" applyProtection="1">
      <alignment horizontal="right"/>
      <protection/>
    </xf>
    <xf numFmtId="0" fontId="12" fillId="16" borderId="187" xfId="0" applyFont="1" applyFill="1" applyBorder="1" applyAlignment="1" applyProtection="1">
      <alignment horizontal="left"/>
      <protection/>
    </xf>
    <xf numFmtId="216" fontId="23" fillId="25" borderId="159" xfId="0" applyNumberFormat="1" applyFont="1" applyFill="1" applyBorder="1" applyAlignment="1" applyProtection="1">
      <alignment horizontal="center" vertical="center"/>
      <protection/>
    </xf>
    <xf numFmtId="217" fontId="23" fillId="25" borderId="188" xfId="0" applyNumberFormat="1" applyFont="1" applyFill="1" applyBorder="1" applyAlignment="1" applyProtection="1">
      <alignment horizontal="center"/>
      <protection/>
    </xf>
    <xf numFmtId="218" fontId="23" fillId="25" borderId="188" xfId="0" applyNumberFormat="1" applyFont="1" applyFill="1" applyBorder="1" applyAlignment="1" applyProtection="1">
      <alignment horizontal="center" vertical="center"/>
      <protection/>
    </xf>
    <xf numFmtId="46" fontId="18" fillId="7" borderId="49" xfId="0" applyNumberFormat="1" applyFont="1" applyFill="1" applyBorder="1" applyAlignment="1" applyProtection="1">
      <alignment horizontal="center"/>
      <protection/>
    </xf>
    <xf numFmtId="14" fontId="0" fillId="0" borderId="70" xfId="0" applyNumberFormat="1" applyFont="1" applyBorder="1" applyAlignment="1" applyProtection="1">
      <alignment horizontal="left"/>
      <protection/>
    </xf>
    <xf numFmtId="0" fontId="26" fillId="0" borderId="71" xfId="0" applyFont="1" applyBorder="1" applyAlignment="1" applyProtection="1">
      <alignment/>
      <protection/>
    </xf>
    <xf numFmtId="0" fontId="7" fillId="0" borderId="185" xfId="0" applyFont="1" applyBorder="1" applyAlignment="1" applyProtection="1">
      <alignment horizontal="center"/>
      <protection/>
    </xf>
    <xf numFmtId="0" fontId="7" fillId="0" borderId="185" xfId="0" applyFont="1" applyBorder="1" applyAlignment="1" applyProtection="1">
      <alignment/>
      <protection/>
    </xf>
    <xf numFmtId="0" fontId="7" fillId="0" borderId="26"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horizontal="center"/>
      <protection/>
    </xf>
    <xf numFmtId="0" fontId="7" fillId="0" borderId="113" xfId="0" applyFont="1" applyBorder="1" applyAlignment="1" applyProtection="1">
      <alignment/>
      <protection/>
    </xf>
    <xf numFmtId="0" fontId="7" fillId="0" borderId="70" xfId="0" applyFont="1" applyBorder="1" applyAlignment="1" applyProtection="1">
      <alignment horizontal="center"/>
      <protection/>
    </xf>
    <xf numFmtId="0" fontId="7" fillId="0" borderId="70" xfId="0" applyFont="1" applyBorder="1" applyAlignment="1" applyProtection="1">
      <alignment/>
      <protection/>
    </xf>
    <xf numFmtId="0" fontId="7" fillId="0" borderId="139" xfId="0" applyFont="1" applyBorder="1" applyAlignment="1" applyProtection="1">
      <alignment/>
      <protection/>
    </xf>
    <xf numFmtId="0" fontId="8" fillId="0" borderId="45" xfId="0" applyFont="1" applyBorder="1" applyAlignment="1" applyProtection="1">
      <alignment/>
      <protection/>
    </xf>
    <xf numFmtId="0" fontId="28" fillId="0" borderId="0" xfId="53" applyFont="1" applyBorder="1" applyAlignment="1" applyProtection="1">
      <alignment/>
      <protection/>
    </xf>
    <xf numFmtId="0" fontId="28" fillId="0" borderId="0" xfId="53" applyFont="1" applyBorder="1" applyAlignment="1" applyProtection="1">
      <alignment horizontal="left"/>
      <protection/>
    </xf>
    <xf numFmtId="0" fontId="7" fillId="0" borderId="45" xfId="0" applyFont="1" applyFill="1" applyBorder="1" applyAlignment="1" applyProtection="1">
      <alignment/>
      <protection/>
    </xf>
    <xf numFmtId="0" fontId="7" fillId="0" borderId="189" xfId="0" applyFont="1" applyBorder="1" applyAlignment="1" applyProtection="1">
      <alignment/>
      <protection/>
    </xf>
    <xf numFmtId="0" fontId="7" fillId="0" borderId="113" xfId="0" applyFont="1" applyFill="1" applyBorder="1" applyAlignment="1" applyProtection="1">
      <alignment/>
      <protection/>
    </xf>
    <xf numFmtId="0" fontId="8" fillId="0" borderId="45" xfId="0" applyFont="1" applyFill="1" applyBorder="1" applyAlignment="1" applyProtection="1">
      <alignment/>
      <protection/>
    </xf>
    <xf numFmtId="0" fontId="0" fillId="0" borderId="45" xfId="0" applyBorder="1" applyAlignment="1" applyProtection="1">
      <alignment/>
      <protection/>
    </xf>
    <xf numFmtId="0" fontId="7" fillId="0" borderId="67" xfId="0" applyFont="1" applyBorder="1" applyAlignment="1" applyProtection="1">
      <alignment horizontal="center"/>
      <protection/>
    </xf>
    <xf numFmtId="0" fontId="7" fillId="0" borderId="67" xfId="0" applyFont="1" applyBorder="1" applyAlignment="1" applyProtection="1">
      <alignment/>
      <protection/>
    </xf>
    <xf numFmtId="0" fontId="7" fillId="0" borderId="19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right"/>
      <protection/>
    </xf>
    <xf numFmtId="0" fontId="4" fillId="0" borderId="0" xfId="53" applyBorder="1" applyAlignment="1" applyProtection="1">
      <alignment horizontal="left"/>
      <protection/>
    </xf>
    <xf numFmtId="0" fontId="9" fillId="0" borderId="45" xfId="0" applyFont="1" applyBorder="1" applyAlignment="1" applyProtection="1">
      <alignment/>
      <protection/>
    </xf>
    <xf numFmtId="0" fontId="0" fillId="0" borderId="45" xfId="0" applyFont="1" applyBorder="1" applyAlignment="1" applyProtection="1">
      <alignment/>
      <protection/>
    </xf>
    <xf numFmtId="0" fontId="0" fillId="0" borderId="45" xfId="0" applyFill="1" applyBorder="1" applyAlignment="1" applyProtection="1">
      <alignment/>
      <protection/>
    </xf>
    <xf numFmtId="0" fontId="0" fillId="0" borderId="191" xfId="0" applyBorder="1" applyAlignment="1" applyProtection="1">
      <alignment/>
      <protection/>
    </xf>
    <xf numFmtId="0" fontId="0" fillId="0" borderId="92" xfId="0" applyBorder="1" applyAlignment="1" applyProtection="1">
      <alignment horizontal="center"/>
      <protection/>
    </xf>
    <xf numFmtId="0" fontId="0" fillId="0" borderId="92" xfId="0" applyBorder="1" applyAlignment="1" applyProtection="1">
      <alignment/>
      <protection/>
    </xf>
    <xf numFmtId="0" fontId="0" fillId="0" borderId="22" xfId="0" applyBorder="1" applyAlignment="1" applyProtection="1">
      <alignment/>
      <protection/>
    </xf>
    <xf numFmtId="0" fontId="0" fillId="0" borderId="89" xfId="0" applyBorder="1" applyAlignment="1" applyProtection="1">
      <alignment horizontal="center"/>
      <protection/>
    </xf>
    <xf numFmtId="0" fontId="12" fillId="16" borderId="149" xfId="0" applyFont="1" applyFill="1" applyBorder="1" applyAlignment="1" applyProtection="1">
      <alignment horizontal="center"/>
      <protection/>
    </xf>
    <xf numFmtId="198" fontId="7" fillId="3" borderId="154" xfId="0" applyNumberFormat="1" applyFont="1" applyFill="1" applyBorder="1" applyAlignment="1" applyProtection="1">
      <alignment horizontal="center"/>
      <protection/>
    </xf>
    <xf numFmtId="0" fontId="0" fillId="0" borderId="0" xfId="0" applyFont="1" applyAlignment="1" applyProtection="1">
      <alignment/>
      <protection/>
    </xf>
    <xf numFmtId="178" fontId="0" fillId="0" borderId="0" xfId="0" applyNumberFormat="1" applyAlignment="1" applyProtection="1">
      <alignment/>
      <protection/>
    </xf>
    <xf numFmtId="10" fontId="7" fillId="0" borderId="0" xfId="0" applyNumberFormat="1" applyFont="1" applyFill="1" applyBorder="1" applyAlignment="1" applyProtection="1">
      <alignment horizontal="center"/>
      <protection/>
    </xf>
    <xf numFmtId="0" fontId="0" fillId="0" borderId="0" xfId="0" applyNumberFormat="1" applyAlignment="1" applyProtection="1">
      <alignment/>
      <protection/>
    </xf>
    <xf numFmtId="0" fontId="0" fillId="0" borderId="0" xfId="0" applyFont="1" applyBorder="1" applyAlignment="1" applyProtection="1">
      <alignment/>
      <protection/>
    </xf>
    <xf numFmtId="172" fontId="7" fillId="7" borderId="48" xfId="0" applyNumberFormat="1" applyFont="1" applyFill="1" applyBorder="1" applyAlignment="1" applyProtection="1">
      <alignment horizontal="center"/>
      <protection/>
    </xf>
    <xf numFmtId="172" fontId="7" fillId="5" borderId="161" xfId="0" applyNumberFormat="1" applyFont="1" applyFill="1" applyBorder="1" applyAlignment="1" applyProtection="1">
      <alignment horizontal="center"/>
      <protection/>
    </xf>
    <xf numFmtId="172" fontId="29" fillId="29" borderId="192" xfId="0" applyNumberFormat="1" applyFont="1" applyFill="1" applyBorder="1" applyAlignment="1" applyProtection="1">
      <alignment horizontal="center"/>
      <protection/>
    </xf>
    <xf numFmtId="172" fontId="29" fillId="29" borderId="56" xfId="0" applyNumberFormat="1" applyFont="1" applyFill="1" applyBorder="1" applyAlignment="1" applyProtection="1">
      <alignment horizontal="center"/>
      <protection/>
    </xf>
    <xf numFmtId="172" fontId="29" fillId="29" borderId="60" xfId="0" applyNumberFormat="1" applyFont="1" applyFill="1" applyBorder="1" applyAlignment="1" applyProtection="1">
      <alignment horizontal="center"/>
      <protection/>
    </xf>
    <xf numFmtId="172" fontId="29" fillId="29" borderId="122" xfId="0" applyNumberFormat="1" applyFont="1" applyFill="1" applyBorder="1" applyAlignment="1" applyProtection="1">
      <alignment horizontal="center"/>
      <protection/>
    </xf>
    <xf numFmtId="172" fontId="29" fillId="29" borderId="121" xfId="0" applyNumberFormat="1" applyFont="1" applyFill="1" applyBorder="1" applyAlignment="1" applyProtection="1">
      <alignment horizontal="center"/>
      <protection/>
    </xf>
    <xf numFmtId="172" fontId="29" fillId="0" borderId="0" xfId="0" applyNumberFormat="1" applyFont="1" applyFill="1" applyBorder="1" applyAlignment="1" applyProtection="1">
      <alignment horizontal="center"/>
      <protection/>
    </xf>
    <xf numFmtId="172"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horizontal="center"/>
      <protection/>
    </xf>
    <xf numFmtId="0" fontId="1" fillId="0" borderId="0" xfId="0" applyFont="1" applyAlignment="1" applyProtection="1">
      <alignment horizontal="center"/>
      <protection/>
    </xf>
    <xf numFmtId="46" fontId="0" fillId="0" borderId="0" xfId="0" applyNumberFormat="1" applyFont="1" applyFill="1" applyAlignment="1" applyProtection="1">
      <alignment/>
      <protection/>
    </xf>
    <xf numFmtId="20" fontId="0" fillId="0" borderId="0" xfId="0" applyNumberFormat="1" applyFont="1" applyFill="1" applyAlignment="1" applyProtection="1">
      <alignment horizontal="center"/>
      <protection/>
    </xf>
    <xf numFmtId="172"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locked="0"/>
    </xf>
    <xf numFmtId="20" fontId="0" fillId="0" borderId="0" xfId="0" applyNumberFormat="1" applyFont="1" applyFill="1" applyBorder="1" applyAlignment="1" applyProtection="1">
      <alignment horizontal="center"/>
      <protection locked="0"/>
    </xf>
    <xf numFmtId="46" fontId="0" fillId="0" borderId="0" xfId="0" applyNumberFormat="1" applyFont="1" applyFill="1" applyBorder="1" applyAlignment="1" applyProtection="1">
      <alignment horizontal="center"/>
      <protection/>
    </xf>
    <xf numFmtId="174" fontId="0" fillId="0" borderId="0" xfId="0" applyNumberFormat="1" applyFont="1" applyFill="1" applyBorder="1" applyAlignment="1" applyProtection="1">
      <alignment horizontal="center"/>
      <protection/>
    </xf>
    <xf numFmtId="2" fontId="0" fillId="0" borderId="0" xfId="0" applyNumberFormat="1" applyFont="1"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67" xfId="0" applyFont="1" applyFill="1" applyBorder="1" applyAlignment="1" applyProtection="1">
      <alignment/>
      <protection/>
    </xf>
    <xf numFmtId="0" fontId="0" fillId="0" borderId="67" xfId="0" applyFill="1" applyBorder="1" applyAlignment="1" applyProtection="1">
      <alignment/>
      <protection/>
    </xf>
    <xf numFmtId="172" fontId="68" fillId="0" borderId="0" xfId="0" applyNumberFormat="1" applyFont="1" applyFill="1" applyBorder="1" applyAlignment="1" applyProtection="1">
      <alignment/>
      <protection/>
    </xf>
    <xf numFmtId="182" fontId="0" fillId="0" borderId="0" xfId="0" applyNumberFormat="1" applyFont="1" applyFill="1" applyBorder="1" applyAlignment="1" applyProtection="1">
      <alignment/>
      <protection/>
    </xf>
    <xf numFmtId="0" fontId="0" fillId="0" borderId="193" xfId="0" applyFill="1" applyBorder="1" applyAlignment="1" applyProtection="1">
      <alignment horizontal="center"/>
      <protection/>
    </xf>
    <xf numFmtId="0" fontId="0" fillId="0" borderId="70" xfId="0"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94" xfId="0" applyFill="1" applyBorder="1" applyAlignment="1" applyProtection="1">
      <alignment horizontal="center"/>
      <protection/>
    </xf>
    <xf numFmtId="0" fontId="0" fillId="0" borderId="195" xfId="0" applyFont="1" applyFill="1" applyBorder="1" applyAlignment="1" applyProtection="1">
      <alignment horizontal="center"/>
      <protection/>
    </xf>
    <xf numFmtId="0" fontId="0" fillId="0" borderId="182" xfId="0" applyFont="1" applyFill="1" applyBorder="1" applyAlignment="1" applyProtection="1">
      <alignment horizontal="center"/>
      <protection/>
    </xf>
    <xf numFmtId="0" fontId="0" fillId="0" borderId="138" xfId="0" applyFont="1" applyFill="1" applyBorder="1" applyAlignment="1" applyProtection="1">
      <alignment horizontal="center"/>
      <protection/>
    </xf>
    <xf numFmtId="0" fontId="0" fillId="0" borderId="138" xfId="0" applyNumberFormat="1" applyFont="1" applyFill="1" applyBorder="1" applyAlignment="1" applyProtection="1">
      <alignment horizontal="center"/>
      <protection/>
    </xf>
    <xf numFmtId="0" fontId="0" fillId="0" borderId="196" xfId="0" applyFont="1" applyFill="1" applyBorder="1" applyAlignment="1" applyProtection="1">
      <alignment horizontal="center"/>
      <protection/>
    </xf>
    <xf numFmtId="0" fontId="0" fillId="0" borderId="196" xfId="0" applyNumberFormat="1"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50" xfId="0" applyNumberFormat="1" applyFont="1" applyFill="1" applyBorder="1" applyAlignment="1" applyProtection="1">
      <alignment horizontal="center"/>
      <protection/>
    </xf>
    <xf numFmtId="174" fontId="0" fillId="17" borderId="123" xfId="0" applyNumberFormat="1" applyFont="1" applyFill="1" applyBorder="1" applyAlignment="1" applyProtection="1">
      <alignment horizontal="center"/>
      <protection/>
    </xf>
    <xf numFmtId="174" fontId="0" fillId="17" borderId="82" xfId="0" applyNumberFormat="1" applyFont="1" applyFill="1" applyBorder="1" applyAlignment="1" applyProtection="1">
      <alignment horizontal="center"/>
      <protection/>
    </xf>
    <xf numFmtId="21" fontId="0" fillId="0" borderId="153" xfId="0" applyNumberFormat="1" applyFont="1" applyFill="1" applyBorder="1" applyAlignment="1" applyProtection="1">
      <alignment horizontal="center"/>
      <protection locked="0"/>
    </xf>
    <xf numFmtId="0" fontId="0" fillId="0" borderId="88" xfId="0" applyNumberFormat="1" applyFont="1" applyFill="1" applyBorder="1" applyAlignment="1" applyProtection="1">
      <alignment horizontal="center"/>
      <protection locked="0"/>
    </xf>
    <xf numFmtId="21" fontId="0" fillId="0" borderId="176" xfId="0" applyNumberFormat="1" applyFont="1" applyFill="1" applyBorder="1" applyAlignment="1" applyProtection="1">
      <alignment horizontal="center"/>
      <protection locked="0"/>
    </xf>
    <xf numFmtId="20" fontId="0" fillId="0" borderId="49" xfId="0" applyNumberFormat="1" applyFont="1" applyFill="1" applyBorder="1" applyAlignment="1" applyProtection="1">
      <alignment horizontal="center"/>
      <protection locked="0"/>
    </xf>
    <xf numFmtId="0" fontId="0" fillId="0" borderId="124" xfId="0" applyNumberFormat="1" applyFont="1" applyFill="1" applyBorder="1" applyAlignment="1" applyProtection="1">
      <alignment horizontal="center"/>
      <protection locked="0"/>
    </xf>
    <xf numFmtId="21" fontId="0" fillId="0" borderId="86" xfId="0" applyNumberFormat="1" applyFont="1" applyFill="1" applyBorder="1" applyAlignment="1" applyProtection="1">
      <alignment horizontal="center"/>
      <protection locked="0"/>
    </xf>
    <xf numFmtId="20" fontId="0" fillId="0" borderId="138" xfId="0" applyNumberFormat="1" applyFont="1" applyFill="1" applyBorder="1" applyAlignment="1" applyProtection="1">
      <alignment horizontal="center"/>
      <protection locked="0"/>
    </xf>
    <xf numFmtId="0" fontId="0" fillId="0" borderId="184" xfId="0" applyNumberFormat="1" applyFont="1" applyFill="1" applyBorder="1" applyAlignment="1" applyProtection="1">
      <alignment horizontal="center"/>
      <protection locked="0"/>
    </xf>
    <xf numFmtId="21" fontId="0" fillId="0" borderId="53" xfId="0" applyNumberFormat="1" applyFont="1" applyFill="1" applyBorder="1" applyAlignment="1" applyProtection="1">
      <alignment horizontal="center"/>
      <protection locked="0"/>
    </xf>
    <xf numFmtId="20" fontId="0" fillId="0" borderId="54" xfId="0" applyNumberFormat="1" applyFont="1" applyFill="1" applyBorder="1" applyAlignment="1" applyProtection="1">
      <alignment horizontal="center"/>
      <protection locked="0"/>
    </xf>
    <xf numFmtId="0" fontId="0" fillId="0" borderId="125" xfId="0" applyNumberFormat="1" applyFont="1" applyFill="1" applyBorder="1" applyAlignment="1" applyProtection="1">
      <alignment horizontal="center"/>
      <protection locked="0"/>
    </xf>
    <xf numFmtId="21" fontId="0" fillId="17" borderId="197" xfId="0" applyNumberFormat="1" applyFont="1" applyFill="1" applyBorder="1" applyAlignment="1" applyProtection="1">
      <alignment horizontal="center"/>
      <protection/>
    </xf>
    <xf numFmtId="172" fontId="0" fillId="17" borderId="198" xfId="0" applyNumberFormat="1" applyFont="1" applyFill="1" applyBorder="1" applyAlignment="1" applyProtection="1">
      <alignment horizontal="center"/>
      <protection/>
    </xf>
    <xf numFmtId="20" fontId="0" fillId="17" borderId="198" xfId="0" applyNumberFormat="1" applyFont="1" applyFill="1" applyBorder="1" applyAlignment="1" applyProtection="1">
      <alignment horizontal="center"/>
      <protection/>
    </xf>
    <xf numFmtId="172" fontId="0" fillId="17" borderId="199" xfId="0" applyNumberFormat="1" applyFont="1" applyFill="1" applyBorder="1" applyAlignment="1" applyProtection="1">
      <alignment horizontal="center"/>
      <protection/>
    </xf>
    <xf numFmtId="20" fontId="0" fillId="0" borderId="51" xfId="0" applyNumberFormat="1" applyFill="1" applyBorder="1" applyAlignment="1" applyProtection="1">
      <alignment horizontal="center"/>
      <protection locked="0"/>
    </xf>
    <xf numFmtId="0" fontId="0" fillId="17" borderId="200" xfId="0" applyNumberFormat="1" applyFont="1" applyFill="1" applyBorder="1" applyAlignment="1" applyProtection="1">
      <alignment horizontal="center"/>
      <protection/>
    </xf>
    <xf numFmtId="172" fontId="0" fillId="17" borderId="59" xfId="0" applyNumberFormat="1" applyFont="1" applyFill="1" applyBorder="1" applyAlignment="1" applyProtection="1">
      <alignment horizontal="center"/>
      <protection/>
    </xf>
    <xf numFmtId="172" fontId="0" fillId="17" borderId="159" xfId="0" applyNumberFormat="1" applyFont="1" applyFill="1" applyBorder="1" applyAlignment="1" applyProtection="1">
      <alignment horizontal="center"/>
      <protection/>
    </xf>
    <xf numFmtId="172" fontId="0" fillId="17" borderId="157" xfId="0" applyNumberFormat="1" applyFont="1" applyFill="1" applyBorder="1" applyAlignment="1" applyProtection="1">
      <alignment horizontal="center"/>
      <protection/>
    </xf>
    <xf numFmtId="224" fontId="1" fillId="3" borderId="201" xfId="0" applyNumberFormat="1" applyFont="1" applyFill="1" applyBorder="1" applyAlignment="1" applyProtection="1">
      <alignment horizontal="center"/>
      <protection/>
    </xf>
    <xf numFmtId="223" fontId="1" fillId="3" borderId="202" xfId="0" applyNumberFormat="1" applyFont="1" applyFill="1" applyBorder="1" applyAlignment="1" applyProtection="1">
      <alignment horizontal="center"/>
      <protection/>
    </xf>
    <xf numFmtId="224" fontId="1" fillId="3" borderId="203" xfId="0" applyNumberFormat="1" applyFont="1" applyFill="1" applyBorder="1" applyAlignment="1" applyProtection="1">
      <alignment horizontal="center"/>
      <protection/>
    </xf>
    <xf numFmtId="225" fontId="1" fillId="3" borderId="201" xfId="0" applyNumberFormat="1" applyFont="1" applyFill="1" applyBorder="1" applyAlignment="1" applyProtection="1">
      <alignment horizontal="center"/>
      <protection/>
    </xf>
    <xf numFmtId="225" fontId="1" fillId="3" borderId="203" xfId="0" applyNumberFormat="1" applyFont="1" applyFill="1" applyBorder="1" applyAlignment="1" applyProtection="1">
      <alignment horizontal="center"/>
      <protection/>
    </xf>
    <xf numFmtId="0" fontId="23" fillId="0" borderId="158" xfId="0" applyFont="1" applyBorder="1" applyAlignment="1" applyProtection="1">
      <alignment horizontal="center"/>
      <protection/>
    </xf>
    <xf numFmtId="172" fontId="7" fillId="3" borderId="204" xfId="0" applyNumberFormat="1" applyFont="1" applyFill="1" applyBorder="1" applyAlignment="1" applyProtection="1">
      <alignment horizontal="center"/>
      <protection/>
    </xf>
    <xf numFmtId="172" fontId="7" fillId="3" borderId="155" xfId="0" applyNumberFormat="1" applyFont="1" applyFill="1" applyBorder="1" applyAlignment="1" applyProtection="1">
      <alignment horizontal="center"/>
      <protection/>
    </xf>
    <xf numFmtId="0" fontId="1" fillId="16" borderId="56" xfId="0" applyNumberFormat="1" applyFont="1" applyFill="1" applyBorder="1" applyAlignment="1" applyProtection="1">
      <alignment horizontal="center"/>
      <protection/>
    </xf>
    <xf numFmtId="0" fontId="1" fillId="16" borderId="60" xfId="0" applyNumberFormat="1" applyFont="1" applyFill="1" applyBorder="1" applyAlignment="1" applyProtection="1">
      <alignment horizontal="center"/>
      <protection/>
    </xf>
    <xf numFmtId="178" fontId="1" fillId="4" borderId="138" xfId="0" applyNumberFormat="1" applyFont="1" applyFill="1" applyBorder="1" applyAlignment="1" applyProtection="1">
      <alignment horizontal="center"/>
      <protection/>
    </xf>
    <xf numFmtId="178" fontId="1" fillId="4" borderId="159" xfId="0" applyNumberFormat="1" applyFont="1" applyFill="1" applyBorder="1" applyAlignment="1" applyProtection="1">
      <alignment horizontal="center"/>
      <protection/>
    </xf>
    <xf numFmtId="0" fontId="1" fillId="16" borderId="136" xfId="51" applyFont="1" applyFill="1" applyBorder="1" applyAlignment="1" applyProtection="1">
      <alignment horizontal="right"/>
      <protection/>
    </xf>
    <xf numFmtId="1" fontId="9" fillId="16" borderId="137" xfId="51" applyNumberFormat="1" applyFont="1" applyFill="1" applyBorder="1" applyAlignment="1" applyProtection="1">
      <alignment horizontal="center"/>
      <protection/>
    </xf>
    <xf numFmtId="178" fontId="9" fillId="16" borderId="137" xfId="51" applyNumberFormat="1" applyFont="1" applyFill="1" applyBorder="1" applyAlignment="1" applyProtection="1">
      <alignment horizontal="center"/>
      <protection/>
    </xf>
    <xf numFmtId="0" fontId="21" fillId="16" borderId="116" xfId="0" applyFont="1" applyFill="1" applyBorder="1" applyAlignment="1" applyProtection="1">
      <alignment horizontal="center"/>
      <protection/>
    </xf>
    <xf numFmtId="0" fontId="21" fillId="16" borderId="152" xfId="0" applyFont="1" applyFill="1" applyBorder="1" applyAlignment="1" applyProtection="1">
      <alignment horizontal="center" vertical="top"/>
      <protection/>
    </xf>
    <xf numFmtId="173" fontId="12" fillId="8" borderId="141" xfId="0" applyNumberFormat="1" applyFont="1" applyFill="1" applyBorder="1" applyAlignment="1" applyProtection="1">
      <alignment horizontal="center"/>
      <protection/>
    </xf>
    <xf numFmtId="0" fontId="21" fillId="16" borderId="47" xfId="0" applyFont="1" applyFill="1" applyBorder="1" applyAlignment="1" applyProtection="1">
      <alignment horizontal="center"/>
      <protection/>
    </xf>
    <xf numFmtId="173" fontId="12" fillId="8" borderId="205" xfId="0" applyNumberFormat="1" applyFont="1" applyFill="1" applyBorder="1" applyAlignment="1" applyProtection="1">
      <alignment horizontal="center"/>
      <protection/>
    </xf>
    <xf numFmtId="0" fontId="0" fillId="16" borderId="58" xfId="0" applyFill="1" applyBorder="1" applyAlignment="1" applyProtection="1">
      <alignment/>
      <protection/>
    </xf>
    <xf numFmtId="0" fontId="7" fillId="2" borderId="152" xfId="0" applyFont="1" applyFill="1" applyBorder="1" applyAlignment="1" applyProtection="1">
      <alignment/>
      <protection/>
    </xf>
    <xf numFmtId="49" fontId="7" fillId="2" borderId="206" xfId="0" applyNumberFormat="1" applyFont="1" applyFill="1" applyBorder="1" applyAlignment="1" applyProtection="1">
      <alignment horizontal="left"/>
      <protection/>
    </xf>
    <xf numFmtId="0" fontId="7" fillId="2" borderId="206" xfId="0" applyFont="1" applyFill="1" applyBorder="1" applyAlignment="1" applyProtection="1">
      <alignment/>
      <protection/>
    </xf>
    <xf numFmtId="0" fontId="7" fillId="2" borderId="141" xfId="0" applyFont="1" applyFill="1" applyBorder="1" applyAlignment="1" applyProtection="1">
      <alignment/>
      <protection/>
    </xf>
    <xf numFmtId="0" fontId="7" fillId="2" borderId="207" xfId="0" applyFont="1" applyFill="1" applyBorder="1" applyAlignment="1" applyProtection="1">
      <alignment/>
      <protection/>
    </xf>
    <xf numFmtId="0" fontId="0" fillId="0" borderId="39" xfId="0" applyFill="1" applyBorder="1" applyAlignment="1" applyProtection="1">
      <alignment horizontal="center"/>
      <protection/>
    </xf>
    <xf numFmtId="0" fontId="12" fillId="16" borderId="208" xfId="0" applyFont="1" applyFill="1" applyBorder="1" applyAlignment="1" applyProtection="1">
      <alignment horizontal="center"/>
      <protection/>
    </xf>
    <xf numFmtId="173" fontId="8" fillId="16" borderId="206" xfId="0" applyNumberFormat="1" applyFont="1" applyFill="1" applyBorder="1" applyAlignment="1" applyProtection="1">
      <alignment horizontal="center"/>
      <protection/>
    </xf>
    <xf numFmtId="0" fontId="7" fillId="0" borderId="39" xfId="0" applyFont="1" applyBorder="1" applyAlignment="1" applyProtection="1">
      <alignment/>
      <protection/>
    </xf>
    <xf numFmtId="0" fontId="0" fillId="0" borderId="116" xfId="0" applyBorder="1" applyAlignment="1" applyProtection="1">
      <alignment/>
      <protection/>
    </xf>
    <xf numFmtId="0" fontId="0" fillId="0" borderId="158" xfId="0" applyBorder="1" applyAlignment="1" applyProtection="1">
      <alignment/>
      <protection/>
    </xf>
    <xf numFmtId="0" fontId="0" fillId="0" borderId="0" xfId="0" applyBorder="1" applyAlignment="1">
      <alignment horizontal="center"/>
    </xf>
    <xf numFmtId="0" fontId="29" fillId="29" borderId="135" xfId="0" applyFont="1" applyFill="1" applyBorder="1" applyAlignment="1" applyProtection="1">
      <alignment/>
      <protection/>
    </xf>
    <xf numFmtId="0" fontId="29" fillId="29" borderId="46" xfId="0" applyFont="1" applyFill="1" applyBorder="1" applyAlignment="1" applyProtection="1">
      <alignment/>
      <protection/>
    </xf>
    <xf numFmtId="0" fontId="29" fillId="29" borderId="21" xfId="0" applyFont="1" applyFill="1" applyBorder="1" applyAlignment="1" applyProtection="1">
      <alignment/>
      <protection/>
    </xf>
    <xf numFmtId="0" fontId="29" fillId="29" borderId="92" xfId="0" applyFont="1" applyFill="1" applyBorder="1" applyAlignment="1" applyProtection="1">
      <alignment/>
      <protection/>
    </xf>
    <xf numFmtId="0" fontId="11" fillId="29" borderId="116" xfId="0" applyFont="1" applyFill="1" applyBorder="1" applyAlignment="1" applyProtection="1">
      <alignment horizontal="center"/>
      <protection/>
    </xf>
    <xf numFmtId="0" fontId="11" fillId="29" borderId="209" xfId="0" applyFont="1" applyFill="1" applyBorder="1" applyAlignment="1" applyProtection="1">
      <alignment/>
      <protection/>
    </xf>
    <xf numFmtId="20" fontId="40" fillId="0" borderId="60" xfId="0" applyNumberFormat="1" applyFont="1" applyFill="1" applyBorder="1" applyAlignment="1" applyProtection="1">
      <alignment horizontal="center"/>
      <protection locked="0"/>
    </xf>
    <xf numFmtId="0" fontId="1" fillId="16" borderId="64" xfId="51" applyFont="1" applyFill="1" applyBorder="1" applyAlignment="1" applyProtection="1">
      <alignment horizontal="right"/>
      <protection/>
    </xf>
    <xf numFmtId="0" fontId="40" fillId="0" borderId="136" xfId="0" applyFont="1" applyFill="1" applyBorder="1" applyAlignment="1" applyProtection="1">
      <alignment horizontal="center"/>
      <protection locked="0"/>
    </xf>
    <xf numFmtId="0" fontId="0" fillId="16" borderId="136" xfId="0" applyFill="1" applyBorder="1" applyAlignment="1" applyProtection="1">
      <alignment/>
      <protection/>
    </xf>
    <xf numFmtId="0" fontId="0" fillId="0" borderId="102" xfId="0" applyFont="1" applyFill="1" applyBorder="1" applyAlignment="1" applyProtection="1">
      <alignment horizontal="center"/>
      <protection locked="0"/>
    </xf>
    <xf numFmtId="0" fontId="19" fillId="16" borderId="58" xfId="51" applyFont="1" applyFill="1" applyBorder="1" applyAlignment="1" applyProtection="1">
      <alignment/>
      <protection locked="0"/>
    </xf>
    <xf numFmtId="178" fontId="13" fillId="23" borderId="26" xfId="0" applyNumberFormat="1" applyFont="1" applyFill="1" applyBorder="1" applyAlignment="1" applyProtection="1">
      <alignment horizontal="center"/>
      <protection/>
    </xf>
    <xf numFmtId="178" fontId="48" fillId="23" borderId="71" xfId="0" applyNumberFormat="1" applyFont="1" applyFill="1" applyBorder="1" applyAlignment="1" applyProtection="1">
      <alignment horizontal="right" vertical="top"/>
      <protection/>
    </xf>
    <xf numFmtId="172" fontId="7" fillId="25" borderId="210" xfId="0" applyNumberFormat="1" applyFont="1" applyFill="1" applyBorder="1" applyAlignment="1" applyProtection="1">
      <alignment horizontal="center"/>
      <protection/>
    </xf>
    <xf numFmtId="172" fontId="7" fillId="25" borderId="211" xfId="0" applyNumberFormat="1" applyFont="1" applyFill="1" applyBorder="1" applyAlignment="1" applyProtection="1">
      <alignment horizontal="center"/>
      <protection/>
    </xf>
    <xf numFmtId="172" fontId="7" fillId="25" borderId="212" xfId="0" applyNumberFormat="1" applyFont="1" applyFill="1" applyBorder="1" applyAlignment="1" applyProtection="1">
      <alignment horizontal="center"/>
      <protection/>
    </xf>
    <xf numFmtId="172" fontId="7" fillId="26" borderId="210" xfId="0" applyNumberFormat="1" applyFont="1" applyFill="1" applyBorder="1" applyAlignment="1" applyProtection="1">
      <alignment horizontal="center"/>
      <protection/>
    </xf>
    <xf numFmtId="172" fontId="7" fillId="26" borderId="211" xfId="0" applyNumberFormat="1" applyFont="1" applyFill="1" applyBorder="1" applyAlignment="1" applyProtection="1">
      <alignment horizontal="center"/>
      <protection/>
    </xf>
    <xf numFmtId="172" fontId="7" fillId="22" borderId="213" xfId="0" applyNumberFormat="1" applyFont="1" applyFill="1" applyBorder="1" applyAlignment="1" applyProtection="1">
      <alignment horizontal="center"/>
      <protection/>
    </xf>
    <xf numFmtId="172" fontId="7" fillId="7" borderId="18" xfId="0" applyNumberFormat="1" applyFont="1" applyFill="1" applyBorder="1" applyAlignment="1" applyProtection="1">
      <alignment horizontal="center"/>
      <protection/>
    </xf>
    <xf numFmtId="172" fontId="7" fillId="5" borderId="214" xfId="0" applyNumberFormat="1" applyFont="1" applyFill="1" applyBorder="1" applyAlignment="1" applyProtection="1">
      <alignment horizontal="center"/>
      <protection/>
    </xf>
    <xf numFmtId="1" fontId="7" fillId="16" borderId="215" xfId="0" applyNumberFormat="1" applyFont="1" applyFill="1" applyBorder="1" applyAlignment="1" applyProtection="1">
      <alignment horizontal="center"/>
      <protection/>
    </xf>
    <xf numFmtId="1" fontId="7" fillId="16" borderId="216" xfId="0" applyNumberFormat="1" applyFont="1" applyFill="1" applyBorder="1" applyAlignment="1" applyProtection="1">
      <alignment horizontal="right"/>
      <protection/>
    </xf>
    <xf numFmtId="174" fontId="7" fillId="16" borderId="129" xfId="0" applyNumberFormat="1" applyFont="1" applyFill="1" applyBorder="1" applyAlignment="1" applyProtection="1">
      <alignment horizontal="center"/>
      <protection/>
    </xf>
    <xf numFmtId="174" fontId="7" fillId="16" borderId="131" xfId="0" applyNumberFormat="1" applyFont="1" applyFill="1" applyBorder="1" applyAlignment="1" applyProtection="1">
      <alignment horizontal="center"/>
      <protection/>
    </xf>
    <xf numFmtId="174" fontId="7" fillId="16" borderId="132" xfId="0" applyNumberFormat="1" applyFont="1" applyFill="1" applyBorder="1" applyAlignment="1" applyProtection="1">
      <alignment horizontal="center"/>
      <protection/>
    </xf>
    <xf numFmtId="174" fontId="7" fillId="16" borderId="217" xfId="0" applyNumberFormat="1" applyFont="1" applyFill="1" applyBorder="1" applyAlignment="1" applyProtection="1">
      <alignment horizontal="center"/>
      <protection/>
    </xf>
    <xf numFmtId="174" fontId="7" fillId="16" borderId="218" xfId="0" applyNumberFormat="1" applyFont="1" applyFill="1" applyBorder="1" applyAlignment="1" applyProtection="1">
      <alignment horizontal="center"/>
      <protection/>
    </xf>
    <xf numFmtId="174" fontId="7" fillId="16" borderId="219" xfId="0" applyNumberFormat="1" applyFont="1" applyFill="1" applyBorder="1" applyAlignment="1" applyProtection="1">
      <alignment horizontal="center"/>
      <protection/>
    </xf>
    <xf numFmtId="172" fontId="7" fillId="23" borderId="210" xfId="0" applyNumberFormat="1" applyFont="1" applyFill="1" applyBorder="1" applyAlignment="1" applyProtection="1">
      <alignment horizontal="center"/>
      <protection/>
    </xf>
    <xf numFmtId="172" fontId="7" fillId="23" borderId="211" xfId="0" applyNumberFormat="1" applyFont="1" applyFill="1" applyBorder="1" applyAlignment="1" applyProtection="1">
      <alignment horizontal="center"/>
      <protection/>
    </xf>
    <xf numFmtId="172" fontId="7" fillId="23" borderId="220" xfId="0" applyNumberFormat="1" applyFont="1" applyFill="1" applyBorder="1" applyAlignment="1" applyProtection="1">
      <alignment horizontal="center"/>
      <protection/>
    </xf>
    <xf numFmtId="172" fontId="7" fillId="23" borderId="19" xfId="0" applyNumberFormat="1" applyFont="1" applyFill="1" applyBorder="1" applyAlignment="1" applyProtection="1">
      <alignment horizontal="center"/>
      <protection/>
    </xf>
    <xf numFmtId="172" fontId="7" fillId="23" borderId="20" xfId="0" applyNumberFormat="1" applyFont="1" applyFill="1" applyBorder="1" applyAlignment="1" applyProtection="1">
      <alignment horizontal="center"/>
      <protection/>
    </xf>
    <xf numFmtId="172" fontId="7" fillId="23" borderId="221" xfId="0" applyNumberFormat="1" applyFont="1" applyFill="1" applyBorder="1" applyAlignment="1" applyProtection="1">
      <alignment horizontal="center"/>
      <protection/>
    </xf>
    <xf numFmtId="172" fontId="7" fillId="23" borderId="24" xfId="0" applyNumberFormat="1" applyFont="1" applyFill="1" applyBorder="1" applyAlignment="1" applyProtection="1">
      <alignment horizontal="center"/>
      <protection/>
    </xf>
    <xf numFmtId="172" fontId="7" fillId="23" borderId="25" xfId="0" applyNumberFormat="1" applyFont="1" applyFill="1" applyBorder="1" applyAlignment="1" applyProtection="1">
      <alignment horizontal="center"/>
      <protection/>
    </xf>
    <xf numFmtId="172" fontId="7" fillId="23" borderId="222" xfId="0" applyNumberFormat="1" applyFont="1" applyFill="1" applyBorder="1" applyAlignment="1" applyProtection="1">
      <alignment horizontal="center"/>
      <protection/>
    </xf>
    <xf numFmtId="172" fontId="7" fillId="23" borderId="15" xfId="0" applyNumberFormat="1" applyFont="1" applyFill="1" applyBorder="1" applyAlignment="1" applyProtection="1">
      <alignment horizontal="center"/>
      <protection/>
    </xf>
    <xf numFmtId="172" fontId="7" fillId="23" borderId="16" xfId="0" applyNumberFormat="1" applyFont="1" applyFill="1" applyBorder="1" applyAlignment="1" applyProtection="1">
      <alignment horizontal="center"/>
      <protection/>
    </xf>
    <xf numFmtId="172" fontId="7" fillId="23" borderId="223" xfId="0" applyNumberFormat="1" applyFont="1" applyFill="1" applyBorder="1" applyAlignment="1" applyProtection="1">
      <alignment horizontal="center"/>
      <protection/>
    </xf>
    <xf numFmtId="172" fontId="7" fillId="23" borderId="224" xfId="0" applyNumberFormat="1" applyFont="1" applyFill="1" applyBorder="1" applyAlignment="1" applyProtection="1">
      <alignment horizontal="center"/>
      <protection/>
    </xf>
    <xf numFmtId="172" fontId="7" fillId="23" borderId="225" xfId="0" applyNumberFormat="1" applyFont="1" applyFill="1" applyBorder="1" applyAlignment="1" applyProtection="1">
      <alignment horizontal="center"/>
      <protection/>
    </xf>
    <xf numFmtId="172" fontId="7" fillId="23" borderId="36" xfId="0" applyNumberFormat="1" applyFont="1" applyFill="1" applyBorder="1" applyAlignment="1" applyProtection="1">
      <alignment horizontal="center"/>
      <protection/>
    </xf>
    <xf numFmtId="172" fontId="7" fillId="23" borderId="226" xfId="0" applyNumberFormat="1" applyFont="1" applyFill="1" applyBorder="1" applyAlignment="1" applyProtection="1">
      <alignment horizontal="center"/>
      <protection/>
    </xf>
    <xf numFmtId="172" fontId="7" fillId="23" borderId="37" xfId="0" applyNumberFormat="1" applyFont="1" applyFill="1" applyBorder="1" applyAlignment="1" applyProtection="1">
      <alignment horizontal="center"/>
      <protection/>
    </xf>
    <xf numFmtId="172" fontId="7" fillId="23" borderId="35" xfId="0" applyNumberFormat="1" applyFont="1" applyFill="1" applyBorder="1" applyAlignment="1" applyProtection="1">
      <alignment horizontal="center"/>
      <protection/>
    </xf>
    <xf numFmtId="172" fontId="7" fillId="23" borderId="40" xfId="0" applyNumberFormat="1" applyFont="1" applyFill="1" applyBorder="1" applyAlignment="1" applyProtection="1">
      <alignment horizontal="center"/>
      <protection/>
    </xf>
    <xf numFmtId="172" fontId="7" fillId="23" borderId="227" xfId="0" applyNumberFormat="1" applyFont="1" applyFill="1" applyBorder="1" applyAlignment="1" applyProtection="1">
      <alignment horizontal="center"/>
      <protection/>
    </xf>
    <xf numFmtId="172" fontId="7" fillId="3" borderId="210" xfId="0" applyNumberFormat="1" applyFont="1" applyFill="1" applyBorder="1" applyAlignment="1" applyProtection="1">
      <alignment horizontal="center"/>
      <protection/>
    </xf>
    <xf numFmtId="172" fontId="7" fillId="3" borderId="220" xfId="0" applyNumberFormat="1" applyFont="1" applyFill="1" applyBorder="1" applyAlignment="1" applyProtection="1">
      <alignment horizontal="center"/>
      <protection/>
    </xf>
    <xf numFmtId="172" fontId="7" fillId="3" borderId="19" xfId="0" applyNumberFormat="1" applyFont="1" applyFill="1" applyBorder="1" applyAlignment="1" applyProtection="1">
      <alignment horizontal="center"/>
      <protection/>
    </xf>
    <xf numFmtId="172" fontId="7" fillId="3" borderId="221" xfId="0" applyNumberFormat="1" applyFont="1" applyFill="1" applyBorder="1" applyAlignment="1" applyProtection="1">
      <alignment horizontal="center"/>
      <protection/>
    </xf>
    <xf numFmtId="172" fontId="7" fillId="3" borderId="24" xfId="0" applyNumberFormat="1" applyFont="1" applyFill="1" applyBorder="1" applyAlignment="1" applyProtection="1">
      <alignment horizontal="center"/>
      <protection/>
    </xf>
    <xf numFmtId="172" fontId="7" fillId="3" borderId="15" xfId="0" applyNumberFormat="1" applyFont="1" applyFill="1" applyBorder="1" applyAlignment="1" applyProtection="1">
      <alignment horizontal="center"/>
      <protection/>
    </xf>
    <xf numFmtId="172" fontId="7" fillId="3" borderId="223" xfId="0" applyNumberFormat="1" applyFont="1" applyFill="1" applyBorder="1" applyAlignment="1" applyProtection="1">
      <alignment horizontal="center"/>
      <protection/>
    </xf>
    <xf numFmtId="172" fontId="7" fillId="3" borderId="228" xfId="0" applyNumberFormat="1" applyFont="1" applyFill="1" applyBorder="1" applyAlignment="1" applyProtection="1">
      <alignment horizontal="center"/>
      <protection/>
    </xf>
    <xf numFmtId="172" fontId="7" fillId="3" borderId="229" xfId="0" applyNumberFormat="1" applyFont="1" applyFill="1" applyBorder="1" applyAlignment="1" applyProtection="1">
      <alignment horizontal="center"/>
      <protection/>
    </xf>
    <xf numFmtId="172" fontId="7" fillId="3" borderId="230" xfId="0" applyNumberFormat="1" applyFont="1" applyFill="1" applyBorder="1" applyAlignment="1" applyProtection="1">
      <alignment horizontal="center"/>
      <protection/>
    </xf>
    <xf numFmtId="2" fontId="0" fillId="0" borderId="0" xfId="0" applyNumberFormat="1" applyAlignment="1" applyProtection="1">
      <alignment horizontal="center"/>
      <protection/>
    </xf>
    <xf numFmtId="178" fontId="0" fillId="0" borderId="0" xfId="0" applyNumberFormat="1" applyFont="1" applyFill="1" applyAlignment="1" applyProtection="1">
      <alignment horizontal="center"/>
      <protection/>
    </xf>
    <xf numFmtId="0" fontId="0" fillId="0" borderId="67" xfId="0" applyFont="1" applyFill="1" applyBorder="1" applyAlignment="1" applyProtection="1">
      <alignment horizontal="center"/>
      <protection/>
    </xf>
    <xf numFmtId="228" fontId="0" fillId="0" borderId="0" xfId="0" applyNumberFormat="1" applyFont="1" applyBorder="1" applyAlignment="1" applyProtection="1">
      <alignment horizontal="center"/>
      <protection/>
    </xf>
    <xf numFmtId="1" fontId="1" fillId="16" borderId="231" xfId="0" applyNumberFormat="1" applyFont="1" applyFill="1" applyBorder="1" applyAlignment="1" applyProtection="1">
      <alignment horizontal="center"/>
      <protection locked="0"/>
    </xf>
    <xf numFmtId="20" fontId="1" fillId="16" borderId="115" xfId="0" applyNumberFormat="1" applyFont="1" applyFill="1" applyBorder="1" applyAlignment="1" applyProtection="1">
      <alignment/>
      <protection/>
    </xf>
    <xf numFmtId="0" fontId="0" fillId="0" borderId="0" xfId="0" applyNumberFormat="1" applyAlignment="1" applyProtection="1">
      <alignment horizontal="left"/>
      <protection/>
    </xf>
    <xf numFmtId="1" fontId="0" fillId="0" borderId="0" xfId="0" applyNumberFormat="1" applyAlignment="1" applyProtection="1">
      <alignment horizontal="left"/>
      <protection/>
    </xf>
    <xf numFmtId="231" fontId="0" fillId="0" borderId="0" xfId="0" applyNumberFormat="1" applyAlignment="1" applyProtection="1">
      <alignment horizontal="center"/>
      <protection/>
    </xf>
    <xf numFmtId="172" fontId="0" fillId="0" borderId="51" xfId="0" applyNumberFormat="1" applyFill="1" applyBorder="1" applyAlignment="1" applyProtection="1">
      <alignment horizontal="center"/>
      <protection locked="0"/>
    </xf>
    <xf numFmtId="172" fontId="0" fillId="0" borderId="49" xfId="0" applyNumberFormat="1" applyFont="1" applyFill="1" applyBorder="1" applyAlignment="1" applyProtection="1">
      <alignment horizontal="center"/>
      <protection locked="0"/>
    </xf>
    <xf numFmtId="172" fontId="0" fillId="0" borderId="49" xfId="0" applyNumberFormat="1" applyFill="1" applyBorder="1" applyAlignment="1" applyProtection="1">
      <alignment horizontal="center"/>
      <protection locked="0"/>
    </xf>
    <xf numFmtId="172" fontId="0" fillId="0" borderId="138" xfId="0" applyNumberFormat="1" applyFont="1" applyFill="1" applyBorder="1" applyAlignment="1" applyProtection="1">
      <alignment horizontal="center"/>
      <protection locked="0"/>
    </xf>
    <xf numFmtId="172" fontId="0" fillId="0" borderId="54" xfId="0" applyNumberFormat="1" applyFont="1" applyFill="1" applyBorder="1" applyAlignment="1" applyProtection="1">
      <alignment horizontal="center"/>
      <protection locked="0"/>
    </xf>
    <xf numFmtId="0" fontId="23" fillId="16" borderId="150" xfId="0" applyFont="1" applyFill="1" applyBorder="1" applyAlignment="1" applyProtection="1">
      <alignment horizontal="center"/>
      <protection/>
    </xf>
    <xf numFmtId="173" fontId="0" fillId="0" borderId="232" xfId="0" applyNumberFormat="1" applyBorder="1" applyAlignment="1" applyProtection="1">
      <alignment horizontal="center"/>
      <protection/>
    </xf>
    <xf numFmtId="174" fontId="0" fillId="0" borderId="232" xfId="0" applyNumberFormat="1" applyBorder="1" applyAlignment="1" applyProtection="1">
      <alignment horizontal="center"/>
      <protection/>
    </xf>
    <xf numFmtId="10" fontId="0" fillId="0" borderId="0" xfId="0" applyNumberFormat="1" applyAlignment="1" applyProtection="1">
      <alignment/>
      <protection/>
    </xf>
    <xf numFmtId="0" fontId="9" fillId="0" borderId="0" xfId="0" applyFont="1" applyBorder="1" applyAlignment="1" applyProtection="1">
      <alignment horizontal="center"/>
      <protection/>
    </xf>
    <xf numFmtId="232" fontId="0" fillId="0" borderId="0" xfId="0" applyNumberFormat="1" applyAlignment="1" applyProtection="1">
      <alignment horizontal="center"/>
      <protection/>
    </xf>
    <xf numFmtId="232" fontId="0" fillId="0" borderId="0" xfId="0" applyNumberFormat="1" applyAlignment="1" applyProtection="1">
      <alignment/>
      <protection/>
    </xf>
    <xf numFmtId="173" fontId="7" fillId="8" borderId="34" xfId="0" applyNumberFormat="1" applyFont="1" applyFill="1" applyBorder="1" applyAlignment="1" applyProtection="1">
      <alignment horizontal="center"/>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178" fontId="48" fillId="23" borderId="233" xfId="0" applyNumberFormat="1" applyFont="1" applyFill="1" applyBorder="1" applyAlignment="1" applyProtection="1">
      <alignment horizontal="right" vertical="top"/>
      <protection/>
    </xf>
    <xf numFmtId="229" fontId="48" fillId="23" borderId="234" xfId="0" applyNumberFormat="1" applyFont="1" applyFill="1" applyBorder="1" applyAlignment="1" applyProtection="1">
      <alignment horizontal="center" vertical="top"/>
      <protection/>
    </xf>
    <xf numFmtId="230" fontId="48" fillId="23" borderId="235" xfId="0" applyNumberFormat="1" applyFont="1" applyFill="1" applyBorder="1" applyAlignment="1" applyProtection="1">
      <alignment horizontal="center" vertical="top"/>
      <protection/>
    </xf>
    <xf numFmtId="178" fontId="48" fillId="23" borderId="236" xfId="0" applyNumberFormat="1" applyFont="1" applyFill="1" applyBorder="1" applyAlignment="1" applyProtection="1">
      <alignment horizontal="right" vertical="top"/>
      <protection/>
    </xf>
    <xf numFmtId="1" fontId="48" fillId="23" borderId="237" xfId="0" applyNumberFormat="1" applyFont="1" applyFill="1" applyBorder="1" applyAlignment="1" applyProtection="1">
      <alignment horizontal="left" vertical="top"/>
      <protection/>
    </xf>
    <xf numFmtId="0" fontId="69" fillId="0" borderId="238" xfId="0" applyFont="1" applyFill="1" applyBorder="1" applyAlignment="1" applyProtection="1">
      <alignment vertical="center"/>
      <protection locked="0"/>
    </xf>
    <xf numFmtId="0" fontId="69" fillId="0" borderId="158" xfId="0" applyFont="1" applyFill="1" applyBorder="1" applyAlignment="1" applyProtection="1">
      <alignment vertical="center"/>
      <protection locked="0"/>
    </xf>
    <xf numFmtId="178" fontId="7" fillId="4" borderId="14" xfId="0" applyNumberFormat="1" applyFont="1" applyFill="1" applyBorder="1" applyAlignment="1" applyProtection="1">
      <alignment horizontal="center"/>
      <protection/>
    </xf>
    <xf numFmtId="178" fontId="7" fillId="4" borderId="48" xfId="0" applyNumberFormat="1" applyFont="1" applyFill="1" applyBorder="1" applyAlignment="1" applyProtection="1">
      <alignment horizontal="center"/>
      <protection/>
    </xf>
    <xf numFmtId="178" fontId="7" fillId="6" borderId="14" xfId="0" applyNumberFormat="1" applyFont="1" applyFill="1" applyBorder="1" applyAlignment="1" applyProtection="1">
      <alignment horizontal="center"/>
      <protection/>
    </xf>
    <xf numFmtId="178" fontId="7" fillId="6" borderId="48" xfId="0" applyNumberFormat="1" applyFont="1" applyFill="1" applyBorder="1" applyAlignment="1" applyProtection="1">
      <alignment horizontal="center"/>
      <protection/>
    </xf>
    <xf numFmtId="178" fontId="7" fillId="6" borderId="28" xfId="0" applyNumberFormat="1" applyFont="1" applyFill="1" applyBorder="1" applyAlignment="1" applyProtection="1">
      <alignment horizontal="center"/>
      <protection/>
    </xf>
    <xf numFmtId="178" fontId="7" fillId="26" borderId="14" xfId="0" applyNumberFormat="1" applyFont="1" applyFill="1" applyBorder="1" applyAlignment="1" applyProtection="1">
      <alignment horizontal="center"/>
      <protection/>
    </xf>
    <xf numFmtId="178" fontId="7" fillId="26" borderId="28" xfId="0" applyNumberFormat="1" applyFont="1" applyFill="1" applyBorder="1" applyAlignment="1" applyProtection="1">
      <alignment horizontal="center"/>
      <protection/>
    </xf>
    <xf numFmtId="178" fontId="7" fillId="22" borderId="31" xfId="0" applyNumberFormat="1" applyFont="1" applyFill="1" applyBorder="1" applyAlignment="1" applyProtection="1">
      <alignment horizontal="center"/>
      <protection/>
    </xf>
    <xf numFmtId="178" fontId="7" fillId="22" borderId="30" xfId="0" applyNumberFormat="1" applyFont="1" applyFill="1" applyBorder="1" applyAlignment="1" applyProtection="1">
      <alignment horizontal="center"/>
      <protection/>
    </xf>
    <xf numFmtId="178" fontId="7" fillId="23" borderId="14" xfId="0" applyNumberFormat="1" applyFont="1" applyFill="1" applyBorder="1" applyAlignment="1" applyProtection="1">
      <alignment horizontal="center"/>
      <protection/>
    </xf>
    <xf numFmtId="178" fontId="7" fillId="23" borderId="28" xfId="0" applyNumberFormat="1" applyFont="1" applyFill="1" applyBorder="1" applyAlignment="1" applyProtection="1">
      <alignment horizontal="center"/>
      <protection/>
    </xf>
    <xf numFmtId="178" fontId="7" fillId="7" borderId="14" xfId="0" applyNumberFormat="1" applyFont="1" applyFill="1" applyBorder="1" applyAlignment="1" applyProtection="1">
      <alignment horizontal="center"/>
      <protection/>
    </xf>
    <xf numFmtId="178" fontId="7" fillId="7" borderId="28" xfId="0" applyNumberFormat="1" applyFont="1" applyFill="1" applyBorder="1" applyAlignment="1" applyProtection="1">
      <alignment horizontal="center"/>
      <protection/>
    </xf>
    <xf numFmtId="178" fontId="7" fillId="3" borderId="14" xfId="0" applyNumberFormat="1" applyFont="1" applyFill="1" applyBorder="1" applyAlignment="1" applyProtection="1">
      <alignment horizontal="center"/>
      <protection/>
    </xf>
    <xf numFmtId="178" fontId="7" fillId="3" borderId="28" xfId="0" applyNumberFormat="1" applyFont="1" applyFill="1" applyBorder="1" applyAlignment="1" applyProtection="1">
      <alignment horizontal="center"/>
      <protection/>
    </xf>
    <xf numFmtId="178" fontId="7" fillId="5" borderId="34" xfId="0" applyNumberFormat="1" applyFont="1" applyFill="1" applyBorder="1" applyAlignment="1" applyProtection="1">
      <alignment horizontal="center"/>
      <protection/>
    </xf>
    <xf numFmtId="178" fontId="7" fillId="5" borderId="33" xfId="0" applyNumberFormat="1" applyFont="1" applyFill="1" applyBorder="1" applyAlignment="1" applyProtection="1">
      <alignment horizontal="center"/>
      <protection/>
    </xf>
    <xf numFmtId="1" fontId="7" fillId="0" borderId="7" xfId="0" applyNumberFormat="1" applyFont="1" applyFill="1" applyBorder="1" applyAlignment="1" applyProtection="1">
      <alignment horizontal="center"/>
      <protection locked="0"/>
    </xf>
    <xf numFmtId="172" fontId="7" fillId="2" borderId="49" xfId="0" applyNumberFormat="1" applyFont="1" applyFill="1" applyBorder="1" applyAlignment="1" applyProtection="1">
      <alignment horizontal="center"/>
      <protection/>
    </xf>
    <xf numFmtId="172" fontId="7" fillId="2" borderId="51" xfId="0" applyNumberFormat="1" applyFont="1" applyFill="1" applyBorder="1" applyAlignment="1" applyProtection="1">
      <alignment horizontal="center"/>
      <protection/>
    </xf>
    <xf numFmtId="0" fontId="1" fillId="0" borderId="162" xfId="0" applyNumberFormat="1" applyFont="1" applyBorder="1" applyAlignment="1" applyProtection="1">
      <alignment horizontal="center"/>
      <protection/>
    </xf>
    <xf numFmtId="0" fontId="1" fillId="0" borderId="239" xfId="0" applyNumberFormat="1" applyFont="1" applyBorder="1" applyAlignment="1" applyProtection="1">
      <alignment horizontal="center"/>
      <protection/>
    </xf>
    <xf numFmtId="195" fontId="7" fillId="3" borderId="54" xfId="0" applyNumberFormat="1" applyFont="1" applyFill="1" applyBorder="1" applyAlignment="1" applyProtection="1">
      <alignment horizontal="center"/>
      <protection/>
    </xf>
    <xf numFmtId="195" fontId="7" fillId="3" borderId="55" xfId="0" applyNumberFormat="1" applyFont="1" applyFill="1" applyBorder="1" applyAlignment="1" applyProtection="1">
      <alignment horizontal="center"/>
      <protection/>
    </xf>
    <xf numFmtId="192" fontId="7" fillId="3" borderId="51" xfId="0" applyNumberFormat="1" applyFont="1" applyFill="1" applyBorder="1" applyAlignment="1" applyProtection="1">
      <alignment horizontal="center"/>
      <protection/>
    </xf>
    <xf numFmtId="192" fontId="7" fillId="3" borderId="57" xfId="0" applyNumberFormat="1" applyFont="1" applyFill="1" applyBorder="1" applyAlignment="1" applyProtection="1">
      <alignment horizontal="center"/>
      <protection/>
    </xf>
    <xf numFmtId="193" fontId="7" fillId="3" borderId="49" xfId="0" applyNumberFormat="1" applyFont="1" applyFill="1" applyBorder="1" applyAlignment="1" applyProtection="1">
      <alignment horizontal="center"/>
      <protection/>
    </xf>
    <xf numFmtId="193" fontId="7" fillId="3" borderId="59" xfId="0" applyNumberFormat="1" applyFont="1" applyFill="1" applyBorder="1" applyAlignment="1" applyProtection="1">
      <alignment horizontal="center"/>
      <protection/>
    </xf>
    <xf numFmtId="0" fontId="8" fillId="5" borderId="162" xfId="0" applyFont="1" applyFill="1" applyBorder="1" applyAlignment="1" applyProtection="1">
      <alignment horizontal="center"/>
      <protection/>
    </xf>
    <xf numFmtId="0" fontId="8" fillId="5" borderId="64" xfId="0" applyFont="1" applyFill="1" applyBorder="1" applyAlignment="1" applyProtection="1">
      <alignment horizontal="center"/>
      <protection/>
    </xf>
    <xf numFmtId="0" fontId="8" fillId="5" borderId="58" xfId="0" applyFont="1" applyFill="1" applyBorder="1" applyAlignment="1" applyProtection="1">
      <alignment horizontal="center"/>
      <protection/>
    </xf>
    <xf numFmtId="208" fontId="7" fillId="3" borderId="151" xfId="0" applyNumberFormat="1" applyFont="1" applyFill="1" applyBorder="1" applyAlignment="1" applyProtection="1">
      <alignment horizontal="center"/>
      <protection/>
    </xf>
    <xf numFmtId="208" fontId="7" fillId="3" borderId="206" xfId="0" applyNumberFormat="1" applyFont="1" applyFill="1" applyBorder="1" applyAlignment="1" applyProtection="1">
      <alignment horizontal="center"/>
      <protection/>
    </xf>
    <xf numFmtId="191" fontId="7" fillId="3" borderId="138" xfId="0" applyNumberFormat="1" applyFont="1" applyFill="1" applyBorder="1" applyAlignment="1" applyProtection="1">
      <alignment horizontal="center"/>
      <protection/>
    </xf>
    <xf numFmtId="191" fontId="7" fillId="3" borderId="159" xfId="0" applyNumberFormat="1" applyFont="1" applyFill="1" applyBorder="1" applyAlignment="1" applyProtection="1">
      <alignment horizontal="center"/>
      <protection/>
    </xf>
    <xf numFmtId="0" fontId="8" fillId="5" borderId="13" xfId="0" applyFont="1" applyFill="1" applyBorder="1" applyAlignment="1" applyProtection="1">
      <alignment horizontal="center"/>
      <protection/>
    </xf>
    <xf numFmtId="0" fontId="8" fillId="5" borderId="185" xfId="0" applyFont="1" applyFill="1" applyBorder="1" applyAlignment="1" applyProtection="1">
      <alignment horizontal="center"/>
      <protection/>
    </xf>
    <xf numFmtId="0" fontId="8" fillId="5" borderId="47" xfId="0" applyFont="1" applyFill="1" applyBorder="1" applyAlignment="1" applyProtection="1">
      <alignment horizontal="center"/>
      <protection/>
    </xf>
    <xf numFmtId="0" fontId="9" fillId="0" borderId="151" xfId="0" applyFont="1" applyBorder="1" applyAlignment="1" applyProtection="1">
      <alignment horizontal="center"/>
      <protection/>
    </xf>
    <xf numFmtId="0" fontId="9" fillId="0" borderId="68" xfId="0" applyFont="1" applyBorder="1" applyAlignment="1" applyProtection="1">
      <alignment horizontal="center"/>
      <protection/>
    </xf>
    <xf numFmtId="0" fontId="9" fillId="0" borderId="187" xfId="0" applyFont="1" applyBorder="1" applyAlignment="1" applyProtection="1">
      <alignment horizontal="center"/>
      <protection/>
    </xf>
    <xf numFmtId="0" fontId="0" fillId="0" borderId="162" xfId="0" applyNumberFormat="1" applyBorder="1" applyAlignment="1" applyProtection="1">
      <alignment horizontal="center"/>
      <protection/>
    </xf>
    <xf numFmtId="0" fontId="0" fillId="0" borderId="64" xfId="0" applyNumberFormat="1" applyBorder="1" applyAlignment="1" applyProtection="1">
      <alignment horizontal="center"/>
      <protection/>
    </xf>
    <xf numFmtId="0" fontId="0" fillId="0" borderId="239" xfId="0" applyNumberFormat="1" applyBorder="1" applyAlignment="1" applyProtection="1">
      <alignment horizontal="center"/>
      <protection/>
    </xf>
    <xf numFmtId="0" fontId="23" fillId="0" borderId="13" xfId="0" applyFont="1" applyBorder="1" applyAlignment="1" applyProtection="1">
      <alignment horizontal="center" vertical="top"/>
      <protection/>
    </xf>
    <xf numFmtId="0" fontId="23" fillId="0" borderId="185" xfId="0" applyFont="1" applyBorder="1" applyAlignment="1" applyProtection="1">
      <alignment horizontal="center" vertical="top"/>
      <protection/>
    </xf>
    <xf numFmtId="0" fontId="8" fillId="4" borderId="240" xfId="0" applyFont="1" applyFill="1" applyBorder="1" applyAlignment="1" applyProtection="1">
      <alignment horizontal="center"/>
      <protection/>
    </xf>
    <xf numFmtId="0" fontId="8" fillId="4" borderId="241" xfId="0" applyFont="1" applyFill="1" applyBorder="1" applyAlignment="1" applyProtection="1">
      <alignment horizontal="center"/>
      <protection/>
    </xf>
    <xf numFmtId="0" fontId="8" fillId="4" borderId="242" xfId="0" applyFont="1" applyFill="1" applyBorder="1" applyAlignment="1" applyProtection="1">
      <alignment horizontal="center"/>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44" xfId="0" applyFont="1" applyFill="1" applyBorder="1" applyAlignment="1" applyProtection="1">
      <alignment horizontal="center"/>
      <protection/>
    </xf>
    <xf numFmtId="0" fontId="12" fillId="15" borderId="192" xfId="0" applyFont="1" applyFill="1" applyBorder="1" applyAlignment="1" applyProtection="1">
      <alignment horizontal="center"/>
      <protection/>
    </xf>
    <xf numFmtId="0" fontId="12" fillId="15" borderId="56" xfId="0" applyFont="1" applyFill="1" applyBorder="1" applyAlignment="1" applyProtection="1">
      <alignment horizontal="center"/>
      <protection/>
    </xf>
    <xf numFmtId="0" fontId="7" fillId="16" borderId="192" xfId="0" applyFont="1" applyFill="1" applyBorder="1" applyAlignment="1" applyProtection="1">
      <alignment horizontal="center"/>
      <protection/>
    </xf>
    <xf numFmtId="0" fontId="7" fillId="16" borderId="56" xfId="0" applyFont="1" applyFill="1" applyBorder="1" applyAlignment="1" applyProtection="1">
      <alignment horizontal="center"/>
      <protection/>
    </xf>
    <xf numFmtId="21" fontId="9" fillId="16" borderId="245" xfId="0" applyNumberFormat="1" applyFont="1" applyFill="1" applyBorder="1" applyAlignment="1" applyProtection="1">
      <alignment horizontal="center"/>
      <protection/>
    </xf>
    <xf numFmtId="21" fontId="9" fillId="16" borderId="64" xfId="0" applyNumberFormat="1" applyFont="1" applyFill="1" applyBorder="1" applyAlignment="1" applyProtection="1">
      <alignment horizontal="center"/>
      <protection/>
    </xf>
    <xf numFmtId="21" fontId="9" fillId="16" borderId="137" xfId="0" applyNumberFormat="1" applyFont="1" applyFill="1" applyBorder="1" applyAlignment="1" applyProtection="1">
      <alignment horizontal="center"/>
      <protection/>
    </xf>
    <xf numFmtId="21" fontId="7" fillId="16" borderId="136" xfId="0" applyNumberFormat="1" applyFont="1" applyFill="1" applyBorder="1" applyAlignment="1" applyProtection="1">
      <alignment horizontal="right"/>
      <protection/>
    </xf>
    <xf numFmtId="21" fontId="7" fillId="16" borderId="64" xfId="0" applyNumberFormat="1" applyFont="1" applyFill="1" applyBorder="1" applyAlignment="1" applyProtection="1">
      <alignment horizontal="right"/>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44" xfId="0" applyFont="1" applyFill="1" applyBorder="1" applyAlignment="1" applyProtection="1">
      <alignment horizontal="center"/>
      <protection/>
    </xf>
    <xf numFmtId="1" fontId="45" fillId="16" borderId="136" xfId="51" applyNumberFormat="1" applyFont="1" applyFill="1" applyBorder="1" applyAlignment="1" applyProtection="1">
      <alignment horizontal="center"/>
      <protection locked="0"/>
    </xf>
    <xf numFmtId="1" fontId="45" fillId="16" borderId="137" xfId="51" applyNumberFormat="1" applyFont="1" applyFill="1" applyBorder="1" applyAlignment="1" applyProtection="1">
      <alignment horizontal="center"/>
      <protection locked="0"/>
    </xf>
    <xf numFmtId="0" fontId="12" fillId="27" borderId="245" xfId="0" applyNumberFormat="1" applyFont="1" applyFill="1" applyBorder="1" applyAlignment="1" applyProtection="1">
      <alignment horizontal="center"/>
      <protection/>
    </xf>
    <xf numFmtId="0" fontId="12" fillId="27" borderId="137" xfId="0" applyNumberFormat="1" applyFont="1" applyFill="1" applyBorder="1" applyAlignment="1" applyProtection="1">
      <alignment horizontal="center"/>
      <protection/>
    </xf>
    <xf numFmtId="0" fontId="8" fillId="16" borderId="245"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7" fillId="16" borderId="136" xfId="0" applyFont="1" applyFill="1" applyBorder="1" applyAlignment="1" applyProtection="1">
      <alignment horizontal="right"/>
      <protection/>
    </xf>
    <xf numFmtId="0" fontId="7" fillId="16" borderId="64" xfId="0" applyFont="1" applyFill="1" applyBorder="1" applyAlignment="1" applyProtection="1">
      <alignment horizontal="right"/>
      <protection/>
    </xf>
    <xf numFmtId="0" fontId="9" fillId="16" borderId="245" xfId="0" applyFont="1" applyFill="1" applyBorder="1" applyAlignment="1" applyProtection="1">
      <alignment horizontal="center"/>
      <protection/>
    </xf>
    <xf numFmtId="0" fontId="9" fillId="16" borderId="64" xfId="0" applyFont="1" applyFill="1" applyBorder="1" applyAlignment="1" applyProtection="1">
      <alignment horizontal="center"/>
      <protection/>
    </xf>
    <xf numFmtId="0" fontId="9" fillId="16" borderId="58" xfId="0" applyFont="1" applyFill="1" applyBorder="1" applyAlignment="1" applyProtection="1">
      <alignment horizontal="center"/>
      <protection/>
    </xf>
    <xf numFmtId="0" fontId="0" fillId="16" borderId="245" xfId="0" applyFill="1" applyBorder="1" applyAlignment="1" applyProtection="1">
      <alignment horizontal="center"/>
      <protection/>
    </xf>
    <xf numFmtId="0" fontId="0" fillId="16" borderId="64" xfId="0" applyFill="1" applyBorder="1" applyAlignment="1" applyProtection="1">
      <alignment horizontal="center"/>
      <protection/>
    </xf>
    <xf numFmtId="0" fontId="0" fillId="16" borderId="58" xfId="0" applyFill="1" applyBorder="1" applyAlignment="1" applyProtection="1">
      <alignment horizontal="center"/>
      <protection/>
    </xf>
    <xf numFmtId="0" fontId="8" fillId="4" borderId="240" xfId="0" applyFont="1" applyFill="1" applyBorder="1" applyAlignment="1" applyProtection="1">
      <alignment horizontal="center"/>
      <protection/>
    </xf>
    <xf numFmtId="0" fontId="8" fillId="4" borderId="241" xfId="0" applyFont="1" applyFill="1" applyBorder="1" applyAlignment="1" applyProtection="1">
      <alignment horizontal="center"/>
      <protection/>
    </xf>
    <xf numFmtId="0" fontId="8" fillId="4" borderId="242" xfId="0" applyFont="1" applyFill="1" applyBorder="1" applyAlignment="1" applyProtection="1">
      <alignment horizontal="center"/>
      <protection/>
    </xf>
    <xf numFmtId="0" fontId="7" fillId="24" borderId="0" xfId="0" applyFont="1" applyFill="1" applyBorder="1" applyAlignment="1" applyProtection="1">
      <alignment horizontal="center"/>
      <protection/>
    </xf>
    <xf numFmtId="227" fontId="1" fillId="14" borderId="120" xfId="0" applyNumberFormat="1" applyFont="1" applyFill="1" applyBorder="1" applyAlignment="1" applyProtection="1">
      <alignment horizontal="center"/>
      <protection/>
    </xf>
    <xf numFmtId="227" fontId="1" fillId="14" borderId="88" xfId="0" applyNumberFormat="1" applyFont="1" applyFill="1" applyBorder="1" applyAlignment="1" applyProtection="1">
      <alignment horizontal="center"/>
      <protection/>
    </xf>
    <xf numFmtId="0" fontId="8" fillId="0" borderId="45"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7" fillId="16" borderId="128" xfId="0" applyFont="1" applyFill="1" applyBorder="1" applyAlignment="1" applyProtection="1">
      <alignment horizontal="center"/>
      <protection/>
    </xf>
    <xf numFmtId="0" fontId="7" fillId="16" borderId="216" xfId="0" applyFont="1" applyFill="1" applyBorder="1" applyAlignment="1" applyProtection="1">
      <alignment horizontal="center"/>
      <protection/>
    </xf>
    <xf numFmtId="0" fontId="7" fillId="16" borderId="246" xfId="0" applyFont="1" applyFill="1" applyBorder="1" applyAlignment="1" applyProtection="1">
      <alignment horizontal="center"/>
      <protection/>
    </xf>
    <xf numFmtId="176" fontId="7" fillId="16" borderId="71" xfId="0" applyNumberFormat="1" applyFont="1" applyFill="1" applyBorder="1" applyAlignment="1" applyProtection="1">
      <alignment horizontal="center"/>
      <protection/>
    </xf>
    <xf numFmtId="176" fontId="7" fillId="16" borderId="185" xfId="0" applyNumberFormat="1" applyFont="1" applyFill="1" applyBorder="1" applyAlignment="1" applyProtection="1">
      <alignment horizontal="center"/>
      <protection/>
    </xf>
    <xf numFmtId="0" fontId="8" fillId="23" borderId="185" xfId="0" applyFont="1" applyFill="1" applyBorder="1" applyAlignment="1" applyProtection="1">
      <alignment horizontal="center"/>
      <protection/>
    </xf>
    <xf numFmtId="226" fontId="1" fillId="14" borderId="62" xfId="0" applyNumberFormat="1" applyFont="1" applyFill="1" applyBorder="1" applyAlignment="1" applyProtection="1">
      <alignment horizontal="center"/>
      <protection/>
    </xf>
    <xf numFmtId="226" fontId="1" fillId="14" borderId="247" xfId="0" applyNumberFormat="1" applyFont="1" applyFill="1" applyBorder="1" applyAlignment="1" applyProtection="1">
      <alignment horizontal="center"/>
      <protection/>
    </xf>
    <xf numFmtId="0" fontId="1" fillId="8" borderId="54" xfId="0" applyFont="1" applyFill="1" applyBorder="1" applyAlignment="1" applyProtection="1">
      <alignment horizontal="center"/>
      <protection/>
    </xf>
    <xf numFmtId="0" fontId="1" fillId="8" borderId="55" xfId="0" applyFont="1" applyFill="1" applyBorder="1" applyAlignment="1" applyProtection="1">
      <alignment horizontal="center"/>
      <protection/>
    </xf>
    <xf numFmtId="0" fontId="1" fillId="8" borderId="51" xfId="0" applyFont="1" applyFill="1" applyBorder="1" applyAlignment="1" applyProtection="1">
      <alignment horizontal="center"/>
      <protection/>
    </xf>
    <xf numFmtId="0" fontId="1" fillId="8" borderId="57" xfId="0" applyFont="1" applyFill="1" applyBorder="1" applyAlignment="1" applyProtection="1">
      <alignment horizontal="center"/>
      <protection/>
    </xf>
    <xf numFmtId="0" fontId="1" fillId="8" borderId="53" xfId="0" applyFont="1" applyFill="1" applyBorder="1" applyAlignment="1" applyProtection="1">
      <alignment horizontal="center"/>
      <protection/>
    </xf>
    <xf numFmtId="0" fontId="11" fillId="29" borderId="248" xfId="0" applyFont="1" applyFill="1" applyBorder="1" applyAlignment="1" applyProtection="1">
      <alignment horizontal="center"/>
      <protection/>
    </xf>
    <xf numFmtId="0" fontId="11" fillId="29" borderId="97" xfId="0" applyFont="1" applyFill="1" applyBorder="1" applyAlignment="1" applyProtection="1">
      <alignment horizontal="center"/>
      <protection/>
    </xf>
    <xf numFmtId="0" fontId="31" fillId="16" borderId="245" xfId="0" applyFont="1" applyFill="1" applyBorder="1" applyAlignment="1" applyProtection="1">
      <alignment horizontal="center"/>
      <protection/>
    </xf>
    <xf numFmtId="0" fontId="31" fillId="16" borderId="64" xfId="0" applyFont="1" applyFill="1" applyBorder="1" applyAlignment="1" applyProtection="1">
      <alignment horizontal="center"/>
      <protection/>
    </xf>
    <xf numFmtId="0" fontId="31" fillId="16" borderId="58" xfId="0" applyFont="1" applyFill="1" applyBorder="1" applyAlignment="1" applyProtection="1">
      <alignment horizontal="center"/>
      <protection/>
    </xf>
    <xf numFmtId="0" fontId="8" fillId="16" borderId="249" xfId="0" applyFont="1" applyFill="1" applyBorder="1" applyAlignment="1" applyProtection="1">
      <alignment horizontal="center"/>
      <protection/>
    </xf>
    <xf numFmtId="0" fontId="8" fillId="16" borderId="250" xfId="0" applyFont="1" applyFill="1" applyBorder="1" applyAlignment="1" applyProtection="1">
      <alignment horizontal="center"/>
      <protection/>
    </xf>
    <xf numFmtId="0" fontId="1" fillId="8" borderId="153" xfId="0" applyFont="1" applyFill="1" applyBorder="1" applyAlignment="1" applyProtection="1">
      <alignment horizontal="center"/>
      <protection/>
    </xf>
    <xf numFmtId="0" fontId="8" fillId="28" borderId="245" xfId="0" applyFont="1" applyFill="1" applyBorder="1" applyAlignment="1" applyProtection="1">
      <alignment horizontal="center"/>
      <protection/>
    </xf>
    <xf numFmtId="0" fontId="8" fillId="28" borderId="137" xfId="0" applyFont="1" applyFill="1" applyBorder="1" applyAlignment="1" applyProtection="1">
      <alignment horizontal="center"/>
      <protection/>
    </xf>
    <xf numFmtId="203" fontId="12" fillId="5" borderId="240" xfId="0" applyNumberFormat="1" applyFont="1" applyFill="1" applyBorder="1" applyAlignment="1" applyProtection="1">
      <alignment horizontal="center"/>
      <protection/>
    </xf>
    <xf numFmtId="203" fontId="12" fillId="5" borderId="242" xfId="0" applyNumberFormat="1" applyFont="1" applyFill="1" applyBorder="1" applyAlignment="1" applyProtection="1">
      <alignment horizontal="center"/>
      <protection/>
    </xf>
    <xf numFmtId="204" fontId="30" fillId="3" borderId="186" xfId="0" applyNumberFormat="1" applyFont="1" applyFill="1" applyBorder="1" applyAlignment="1" applyProtection="1">
      <alignment horizontal="center"/>
      <protection/>
    </xf>
    <xf numFmtId="204" fontId="30" fillId="3" borderId="187" xfId="0" applyNumberFormat="1" applyFont="1" applyFill="1" applyBorder="1" applyAlignment="1" applyProtection="1">
      <alignment horizontal="center"/>
      <protection/>
    </xf>
    <xf numFmtId="0" fontId="1" fillId="14" borderId="62" xfId="0" applyNumberFormat="1" applyFont="1" applyFill="1" applyBorder="1" applyAlignment="1" applyProtection="1">
      <alignment horizontal="right"/>
      <protection/>
    </xf>
    <xf numFmtId="0" fontId="1" fillId="14" borderId="251" xfId="0" applyNumberFormat="1" applyFont="1" applyFill="1" applyBorder="1" applyAlignment="1" applyProtection="1">
      <alignment horizontal="right"/>
      <protection/>
    </xf>
    <xf numFmtId="0" fontId="8" fillId="22" borderId="243" xfId="0" applyFont="1" applyFill="1" applyBorder="1" applyAlignment="1" applyProtection="1">
      <alignment horizontal="center"/>
      <protection/>
    </xf>
    <xf numFmtId="0" fontId="8" fillId="22" borderId="244" xfId="0" applyFont="1" applyFill="1" applyBorder="1" applyAlignment="1" applyProtection="1">
      <alignment horizontal="center"/>
      <protection/>
    </xf>
    <xf numFmtId="201" fontId="12" fillId="3" borderId="186" xfId="0" applyNumberFormat="1" applyFont="1" applyFill="1" applyBorder="1" applyAlignment="1" applyProtection="1">
      <alignment horizontal="center"/>
      <protection/>
    </xf>
    <xf numFmtId="201" fontId="12" fillId="3" borderId="187" xfId="0" applyNumberFormat="1" applyFont="1" applyFill="1" applyBorder="1" applyAlignment="1" applyProtection="1">
      <alignment horizontal="center"/>
      <protection/>
    </xf>
    <xf numFmtId="205" fontId="12" fillId="22" borderId="252" xfId="0" applyNumberFormat="1" applyFont="1" applyFill="1" applyBorder="1" applyAlignment="1" applyProtection="1">
      <alignment horizontal="center"/>
      <protection/>
    </xf>
    <xf numFmtId="205" fontId="12" fillId="22" borderId="253" xfId="0" applyNumberFormat="1" applyFont="1" applyFill="1" applyBorder="1" applyAlignment="1" applyProtection="1">
      <alignment horizontal="center"/>
      <protection/>
    </xf>
    <xf numFmtId="200" fontId="12" fillId="5" borderId="254" xfId="0" applyNumberFormat="1" applyFont="1" applyFill="1" applyBorder="1" applyAlignment="1" applyProtection="1">
      <alignment horizontal="center"/>
      <protection/>
    </xf>
    <xf numFmtId="200" fontId="12" fillId="5" borderId="255" xfId="0" applyNumberFormat="1" applyFont="1" applyFill="1" applyBorder="1" applyAlignment="1" applyProtection="1">
      <alignment horizontal="center"/>
      <protection/>
    </xf>
    <xf numFmtId="0" fontId="8" fillId="16" borderId="245" xfId="0" applyNumberFormat="1" applyFont="1" applyFill="1" applyBorder="1" applyAlignment="1" applyProtection="1">
      <alignment horizontal="center"/>
      <protection/>
    </xf>
    <xf numFmtId="0" fontId="8" fillId="16" borderId="137" xfId="0" applyNumberFormat="1" applyFont="1" applyFill="1" applyBorder="1" applyAlignment="1" applyProtection="1">
      <alignment horizontal="center"/>
      <protection/>
    </xf>
    <xf numFmtId="0" fontId="12" fillId="16" borderId="256" xfId="0" applyFont="1" applyFill="1" applyBorder="1" applyAlignment="1" applyProtection="1">
      <alignment horizontal="right"/>
      <protection/>
    </xf>
    <xf numFmtId="0" fontId="12" fillId="16" borderId="139" xfId="0" applyFont="1" applyFill="1" applyBorder="1" applyAlignment="1" applyProtection="1">
      <alignment horizontal="right"/>
      <protection/>
    </xf>
    <xf numFmtId="0" fontId="7" fillId="16" borderId="245" xfId="0" applyFont="1" applyFill="1" applyBorder="1" applyAlignment="1" applyProtection="1">
      <alignment horizontal="center"/>
      <protection/>
    </xf>
    <xf numFmtId="0" fontId="7" fillId="16" borderId="64" xfId="0" applyFont="1" applyFill="1" applyBorder="1" applyAlignment="1" applyProtection="1">
      <alignment horizontal="center"/>
      <protection/>
    </xf>
    <xf numFmtId="0" fontId="7" fillId="16" borderId="58" xfId="0" applyFont="1" applyFill="1" applyBorder="1" applyAlignment="1" applyProtection="1">
      <alignment horizontal="center"/>
      <protection/>
    </xf>
    <xf numFmtId="0" fontId="1" fillId="14" borderId="63" xfId="0" applyNumberFormat="1" applyFont="1" applyFill="1" applyBorder="1" applyAlignment="1" applyProtection="1">
      <alignment horizontal="right"/>
      <protection/>
    </xf>
    <xf numFmtId="0" fontId="1" fillId="14" borderId="257" xfId="0" applyNumberFormat="1" applyFont="1" applyFill="1" applyBorder="1" applyAlignment="1" applyProtection="1">
      <alignment horizontal="right"/>
      <protection/>
    </xf>
    <xf numFmtId="177" fontId="1" fillId="27" borderId="64" xfId="0" applyNumberFormat="1" applyFont="1" applyFill="1" applyBorder="1" applyAlignment="1" applyProtection="1">
      <alignment horizontal="right" vertical="center"/>
      <protection/>
    </xf>
    <xf numFmtId="177" fontId="1" fillId="27" borderId="258" xfId="0" applyNumberFormat="1" applyFont="1" applyFill="1" applyBorder="1" applyAlignment="1" applyProtection="1">
      <alignment horizontal="right" vertical="center"/>
      <protection/>
    </xf>
    <xf numFmtId="0" fontId="9" fillId="16" borderId="64" xfId="51" applyFont="1" applyFill="1" applyBorder="1" applyAlignment="1" applyProtection="1">
      <alignment horizontal="left"/>
      <protection/>
    </xf>
    <xf numFmtId="0" fontId="9" fillId="16" borderId="137" xfId="51" applyFont="1" applyFill="1" applyBorder="1" applyAlignment="1" applyProtection="1">
      <alignment horizontal="left"/>
      <protection/>
    </xf>
    <xf numFmtId="0" fontId="9" fillId="16" borderId="64" xfId="51" applyFont="1" applyFill="1" applyBorder="1" applyAlignment="1" applyProtection="1">
      <alignment horizontal="left"/>
      <protection/>
    </xf>
    <xf numFmtId="0" fontId="1" fillId="0" borderId="245"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58" xfId="0" applyFont="1" applyBorder="1" applyAlignment="1" applyProtection="1">
      <alignment horizontal="center"/>
      <protection/>
    </xf>
    <xf numFmtId="0" fontId="1" fillId="16" borderId="245" xfId="0" applyFont="1" applyFill="1" applyBorder="1" applyAlignment="1" applyProtection="1">
      <alignment horizontal="center"/>
      <protection/>
    </xf>
    <xf numFmtId="0" fontId="1" fillId="16" borderId="64" xfId="0" applyFont="1" applyFill="1" applyBorder="1" applyAlignment="1" applyProtection="1">
      <alignment horizontal="center"/>
      <protection/>
    </xf>
    <xf numFmtId="0" fontId="41" fillId="16" borderId="245" xfId="51" applyFont="1" applyFill="1" applyBorder="1" applyAlignment="1" applyProtection="1">
      <alignment horizontal="right"/>
      <protection/>
    </xf>
    <xf numFmtId="0" fontId="41" fillId="16" borderId="64" xfId="51" applyFont="1" applyFill="1" applyBorder="1" applyAlignment="1" applyProtection="1">
      <alignment horizontal="right"/>
      <protection/>
    </xf>
    <xf numFmtId="177" fontId="1" fillId="14" borderId="113" xfId="0" applyNumberFormat="1" applyFont="1" applyFill="1" applyBorder="1" applyAlignment="1" applyProtection="1">
      <alignment horizontal="center" vertical="center"/>
      <protection/>
    </xf>
    <xf numFmtId="177" fontId="1" fillId="14" borderId="139"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protection/>
    </xf>
    <xf numFmtId="0" fontId="23" fillId="16" borderId="12" xfId="0" applyFont="1" applyFill="1" applyBorder="1" applyAlignment="1" applyProtection="1">
      <alignment horizontal="center"/>
      <protection/>
    </xf>
    <xf numFmtId="0" fontId="23" fillId="16" borderId="17" xfId="0" applyFont="1" applyFill="1" applyBorder="1" applyAlignment="1" applyProtection="1">
      <alignment horizontal="center"/>
      <protection/>
    </xf>
    <xf numFmtId="0" fontId="11" fillId="29" borderId="215" xfId="0" applyFont="1" applyFill="1" applyBorder="1" applyAlignment="1" applyProtection="1">
      <alignment horizontal="center"/>
      <protection/>
    </xf>
    <xf numFmtId="0" fontId="11" fillId="29" borderId="216" xfId="0" applyFont="1" applyFill="1" applyBorder="1" applyAlignment="1" applyProtection="1">
      <alignment horizontal="center"/>
      <protection/>
    </xf>
    <xf numFmtId="0" fontId="11" fillId="29" borderId="166" xfId="0" applyFont="1" applyFill="1" applyBorder="1" applyAlignment="1" applyProtection="1">
      <alignment horizontal="center"/>
      <protection/>
    </xf>
    <xf numFmtId="0" fontId="12" fillId="16" borderId="259" xfId="0" applyFont="1" applyFill="1" applyBorder="1" applyAlignment="1" applyProtection="1">
      <alignment horizontal="center"/>
      <protection/>
    </xf>
    <xf numFmtId="0" fontId="12" fillId="16" borderId="260" xfId="0" applyFont="1" applyFill="1" applyBorder="1" applyAlignment="1" applyProtection="1">
      <alignment horizontal="center"/>
      <protection/>
    </xf>
    <xf numFmtId="0" fontId="1" fillId="8" borderId="261" xfId="0" applyFont="1" applyFill="1" applyBorder="1" applyAlignment="1" applyProtection="1">
      <alignment horizontal="center"/>
      <protection/>
    </xf>
    <xf numFmtId="0" fontId="1" fillId="8" borderId="234" xfId="0" applyFont="1" applyFill="1" applyBorder="1" applyAlignment="1" applyProtection="1">
      <alignment horizontal="center"/>
      <protection/>
    </xf>
    <xf numFmtId="0" fontId="1" fillId="8" borderId="205" xfId="0" applyFont="1" applyFill="1" applyBorder="1" applyAlignment="1" applyProtection="1">
      <alignment horizontal="center"/>
      <protection/>
    </xf>
    <xf numFmtId="0" fontId="0" fillId="16" borderId="231" xfId="0" applyFill="1" applyBorder="1" applyAlignment="1" applyProtection="1">
      <alignment horizontal="center"/>
      <protection/>
    </xf>
    <xf numFmtId="0" fontId="0" fillId="16" borderId="115" xfId="0" applyFill="1" applyBorder="1" applyAlignment="1" applyProtection="1">
      <alignment horizontal="center"/>
      <protection/>
    </xf>
    <xf numFmtId="0" fontId="0" fillId="16" borderId="156" xfId="0" applyFill="1" applyBorder="1" applyAlignment="1" applyProtection="1">
      <alignment horizontal="center"/>
      <protection/>
    </xf>
    <xf numFmtId="0" fontId="8" fillId="22" borderId="240" xfId="0" applyFont="1" applyFill="1" applyBorder="1" applyAlignment="1" applyProtection="1">
      <alignment horizontal="center"/>
      <protection/>
    </xf>
    <xf numFmtId="0" fontId="8" fillId="22" borderId="242" xfId="0" applyFont="1" applyFill="1" applyBorder="1" applyAlignment="1" applyProtection="1">
      <alignment horizontal="center"/>
      <protection/>
    </xf>
    <xf numFmtId="202" fontId="12" fillId="22" borderId="243" xfId="0" applyNumberFormat="1" applyFont="1" applyFill="1" applyBorder="1" applyAlignment="1" applyProtection="1">
      <alignment horizontal="center"/>
      <protection/>
    </xf>
    <xf numFmtId="202" fontId="12" fillId="22" borderId="244" xfId="0" applyNumberFormat="1" applyFont="1" applyFill="1" applyBorder="1" applyAlignment="1" applyProtection="1">
      <alignment horizontal="center"/>
      <protection/>
    </xf>
    <xf numFmtId="0" fontId="8" fillId="16" borderId="215" xfId="0" applyFont="1" applyFill="1" applyBorder="1" applyAlignment="1" applyProtection="1">
      <alignment horizontal="center"/>
      <protection/>
    </xf>
    <xf numFmtId="0" fontId="8" fillId="16" borderId="216" xfId="0" applyFont="1" applyFill="1" applyBorder="1" applyAlignment="1" applyProtection="1">
      <alignment horizontal="center"/>
      <protection/>
    </xf>
    <xf numFmtId="0" fontId="8" fillId="16" borderId="166" xfId="0" applyFont="1" applyFill="1" applyBorder="1" applyAlignment="1" applyProtection="1">
      <alignment horizontal="center"/>
      <protection/>
    </xf>
    <xf numFmtId="0" fontId="1" fillId="8" borderId="133" xfId="0" applyFont="1" applyFill="1" applyBorder="1" applyAlignment="1" applyProtection="1">
      <alignment horizontal="center"/>
      <protection/>
    </xf>
    <xf numFmtId="0" fontId="1" fillId="8" borderId="195" xfId="0" applyFont="1" applyFill="1" applyBorder="1" applyAlignment="1" applyProtection="1">
      <alignment horizontal="center"/>
      <protection/>
    </xf>
    <xf numFmtId="0" fontId="8" fillId="16" borderId="245"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196" fontId="7" fillId="3" borderId="49" xfId="0" applyNumberFormat="1" applyFont="1" applyFill="1" applyBorder="1" applyAlignment="1" applyProtection="1">
      <alignment horizontal="center"/>
      <protection/>
    </xf>
    <xf numFmtId="196" fontId="7" fillId="3" borderId="59" xfId="0" applyNumberFormat="1" applyFont="1" applyFill="1" applyBorder="1" applyAlignment="1" applyProtection="1">
      <alignment horizontal="center"/>
      <protection/>
    </xf>
    <xf numFmtId="0" fontId="9" fillId="16" borderId="215" xfId="0" applyFont="1" applyFill="1" applyBorder="1" applyAlignment="1" applyProtection="1">
      <alignment horizontal="center"/>
      <protection/>
    </xf>
    <xf numFmtId="0" fontId="9" fillId="16" borderId="216" xfId="0" applyFont="1" applyFill="1" applyBorder="1" applyAlignment="1" applyProtection="1">
      <alignment horizontal="center"/>
      <protection/>
    </xf>
    <xf numFmtId="0" fontId="9" fillId="16" borderId="166" xfId="0" applyFont="1" applyFill="1" applyBorder="1" applyAlignment="1" applyProtection="1">
      <alignment horizontal="center"/>
      <protection/>
    </xf>
    <xf numFmtId="194" fontId="7" fillId="3" borderId="51" xfId="0" applyNumberFormat="1" applyFont="1" applyFill="1" applyBorder="1" applyAlignment="1" applyProtection="1">
      <alignment horizontal="center"/>
      <protection/>
    </xf>
    <xf numFmtId="194" fontId="7" fillId="3" borderId="57" xfId="0" applyNumberFormat="1" applyFont="1" applyFill="1" applyBorder="1" applyAlignment="1" applyProtection="1">
      <alignment horizontal="center"/>
      <protection/>
    </xf>
    <xf numFmtId="0" fontId="1" fillId="0" borderId="248" xfId="0" applyFont="1" applyBorder="1" applyAlignment="1" applyProtection="1">
      <alignment horizontal="center" vertical="top"/>
      <protection/>
    </xf>
    <xf numFmtId="0" fontId="1" fillId="0" borderId="97" xfId="0" applyFont="1" applyBorder="1" applyAlignment="1" applyProtection="1">
      <alignment horizontal="center" vertical="top"/>
      <protection/>
    </xf>
    <xf numFmtId="0" fontId="1" fillId="0" borderId="209" xfId="0" applyFont="1" applyBorder="1" applyAlignment="1" applyProtection="1">
      <alignment horizontal="center" vertical="top"/>
      <protection/>
    </xf>
    <xf numFmtId="0" fontId="1" fillId="8" borderId="256" xfId="0" applyFont="1" applyFill="1" applyBorder="1" applyAlignment="1" applyProtection="1">
      <alignment horizontal="center"/>
      <protection/>
    </xf>
    <xf numFmtId="0" fontId="1" fillId="8" borderId="194" xfId="0" applyFont="1" applyFill="1" applyBorder="1" applyAlignment="1" applyProtection="1">
      <alignment horizontal="center"/>
      <protection/>
    </xf>
    <xf numFmtId="190" fontId="9" fillId="11" borderId="231" xfId="0" applyNumberFormat="1" applyFont="1" applyFill="1" applyBorder="1" applyAlignment="1">
      <alignment horizontal="center"/>
    </xf>
    <xf numFmtId="190" fontId="9" fillId="11" borderId="115" xfId="0" applyNumberFormat="1" applyFont="1" applyFill="1" applyBorder="1" applyAlignment="1">
      <alignment horizontal="center"/>
    </xf>
    <xf numFmtId="180" fontId="7" fillId="25" borderId="159" xfId="0" applyNumberFormat="1" applyFont="1" applyFill="1" applyBorder="1" applyAlignment="1" applyProtection="1">
      <alignment horizontal="center" vertical="center"/>
      <protection/>
    </xf>
    <xf numFmtId="0" fontId="7" fillId="0" borderId="188" xfId="0" applyFont="1" applyBorder="1" applyAlignment="1">
      <alignment/>
    </xf>
    <xf numFmtId="0" fontId="7" fillId="0" borderId="61" xfId="0" applyFont="1" applyBorder="1" applyAlignment="1">
      <alignment/>
    </xf>
    <xf numFmtId="0" fontId="39" fillId="8" borderId="86" xfId="0" applyFont="1" applyFill="1" applyBorder="1" applyAlignment="1" applyProtection="1">
      <alignment horizontal="center"/>
      <protection locked="0"/>
    </xf>
    <xf numFmtId="0" fontId="39" fillId="8" borderId="138" xfId="0" applyFont="1" applyFill="1" applyBorder="1" applyAlignment="1" applyProtection="1">
      <alignment horizontal="center"/>
      <protection locked="0"/>
    </xf>
    <xf numFmtId="0" fontId="39" fillId="8" borderId="176" xfId="0" applyFont="1" applyFill="1" applyBorder="1" applyAlignment="1" applyProtection="1">
      <alignment horizontal="center"/>
      <protection locked="0"/>
    </xf>
    <xf numFmtId="0" fontId="39" fillId="8" borderId="49" xfId="0" applyFont="1" applyFill="1" applyBorder="1" applyAlignment="1" applyProtection="1">
      <alignment horizontal="center"/>
      <protection locked="0"/>
    </xf>
    <xf numFmtId="0" fontId="9" fillId="8" borderId="13" xfId="0" applyFont="1" applyFill="1" applyBorder="1" applyAlignment="1" applyProtection="1">
      <alignment horizontal="center"/>
      <protection/>
    </xf>
    <xf numFmtId="0" fontId="9" fillId="8" borderId="262" xfId="0" applyFont="1" applyFill="1" applyBorder="1" applyAlignment="1" applyProtection="1">
      <alignment horizontal="center"/>
      <protection/>
    </xf>
    <xf numFmtId="209" fontId="7" fillId="3" borderId="151" xfId="0" applyNumberFormat="1" applyFont="1" applyFill="1" applyBorder="1" applyAlignment="1" applyProtection="1">
      <alignment horizontal="center"/>
      <protection/>
    </xf>
    <xf numFmtId="209" fontId="7" fillId="3" borderId="206" xfId="0" applyNumberFormat="1" applyFont="1" applyFill="1" applyBorder="1" applyAlignment="1" applyProtection="1">
      <alignment horizontal="center"/>
      <protection/>
    </xf>
    <xf numFmtId="0" fontId="12" fillId="16" borderId="263" xfId="0" applyFont="1" applyFill="1" applyBorder="1" applyAlignment="1" applyProtection="1">
      <alignment horizontal="center"/>
      <protection/>
    </xf>
    <xf numFmtId="0" fontId="12" fillId="16" borderId="185" xfId="0" applyFont="1" applyFill="1" applyBorder="1" applyAlignment="1" applyProtection="1">
      <alignment horizontal="center"/>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0" fillId="16" borderId="192" xfId="0" applyFill="1" applyBorder="1" applyAlignment="1" applyProtection="1">
      <alignment horizontal="center"/>
      <protection/>
    </xf>
    <xf numFmtId="0" fontId="0" fillId="16" borderId="56" xfId="0" applyFill="1" applyBorder="1" applyAlignment="1" applyProtection="1">
      <alignment horizontal="center"/>
      <protection/>
    </xf>
    <xf numFmtId="49" fontId="12" fillId="8" borderId="153" xfId="0" applyNumberFormat="1" applyFont="1" applyFill="1" applyBorder="1" applyAlignment="1" applyProtection="1">
      <alignment horizontal="center"/>
      <protection/>
    </xf>
    <xf numFmtId="0" fontId="12" fillId="8" borderId="51" xfId="0" applyNumberFormat="1" applyFont="1" applyFill="1" applyBorder="1" applyAlignment="1" applyProtection="1">
      <alignment horizontal="center"/>
      <protection/>
    </xf>
    <xf numFmtId="0" fontId="12" fillId="8" borderId="53" xfId="0" applyFont="1" applyFill="1" applyBorder="1" applyAlignment="1" applyProtection="1">
      <alignment horizontal="center"/>
      <protection/>
    </xf>
    <xf numFmtId="0" fontId="12" fillId="8" borderId="54" xfId="0" applyFont="1" applyFill="1" applyBorder="1" applyAlignment="1" applyProtection="1">
      <alignment horizontal="center"/>
      <protection/>
    </xf>
    <xf numFmtId="183" fontId="8" fillId="2" borderId="51" xfId="0" applyNumberFormat="1" applyFont="1" applyFill="1" applyBorder="1" applyAlignment="1" applyProtection="1">
      <alignment horizontal="center"/>
      <protection/>
    </xf>
    <xf numFmtId="183" fontId="8" fillId="2" borderId="167" xfId="0" applyNumberFormat="1" applyFont="1" applyFill="1" applyBorder="1" applyAlignment="1" applyProtection="1">
      <alignment horizontal="center"/>
      <protection/>
    </xf>
    <xf numFmtId="0" fontId="8" fillId="16" borderId="13" xfId="0" applyFont="1" applyFill="1" applyBorder="1" applyAlignment="1" applyProtection="1">
      <alignment horizontal="left"/>
      <protection/>
    </xf>
    <xf numFmtId="0" fontId="8" fillId="16" borderId="185" xfId="0" applyFont="1" applyFill="1" applyBorder="1" applyAlignment="1" applyProtection="1">
      <alignment horizontal="left"/>
      <protection/>
    </xf>
    <xf numFmtId="0" fontId="8" fillId="16" borderId="26" xfId="0" applyFont="1" applyFill="1" applyBorder="1" applyAlignment="1" applyProtection="1">
      <alignment horizontal="left"/>
      <protection/>
    </xf>
    <xf numFmtId="0" fontId="12" fillId="16" borderId="71" xfId="0" applyFont="1" applyFill="1" applyBorder="1" applyAlignment="1" applyProtection="1">
      <alignment horizontal="center"/>
      <protection/>
    </xf>
    <xf numFmtId="0" fontId="12" fillId="16" borderId="262" xfId="0" applyFont="1" applyFill="1" applyBorder="1" applyAlignment="1" applyProtection="1">
      <alignment horizontal="center"/>
      <protection/>
    </xf>
    <xf numFmtId="0" fontId="8" fillId="16" borderId="12" xfId="0" applyFont="1" applyFill="1" applyBorder="1" applyAlignment="1" applyProtection="1">
      <alignment horizontal="left"/>
      <protection/>
    </xf>
    <xf numFmtId="0" fontId="8" fillId="16" borderId="0" xfId="0" applyFont="1" applyFill="1" applyBorder="1" applyAlignment="1" applyProtection="1">
      <alignment horizontal="left"/>
      <protection/>
    </xf>
    <xf numFmtId="0" fontId="8" fillId="16" borderId="17" xfId="0" applyFont="1" applyFill="1" applyBorder="1" applyAlignment="1" applyProtection="1">
      <alignment horizontal="left"/>
      <protection/>
    </xf>
    <xf numFmtId="0" fontId="12" fillId="16" borderId="191" xfId="0" applyFont="1" applyFill="1" applyBorder="1" applyAlignment="1" applyProtection="1">
      <alignment horizontal="center"/>
      <protection/>
    </xf>
    <xf numFmtId="0" fontId="12" fillId="16" borderId="264" xfId="0" applyFont="1" applyFill="1" applyBorder="1" applyAlignment="1" applyProtection="1">
      <alignment horizontal="center"/>
      <protection/>
    </xf>
    <xf numFmtId="172" fontId="35" fillId="16" borderId="150" xfId="0" applyNumberFormat="1" applyFont="1" applyFill="1" applyBorder="1" applyAlignment="1" applyProtection="1">
      <alignment horizontal="center"/>
      <protection/>
    </xf>
    <xf numFmtId="172" fontId="35" fillId="16" borderId="67" xfId="0" applyNumberFormat="1" applyFont="1" applyFill="1" applyBorder="1" applyAlignment="1" applyProtection="1">
      <alignment horizontal="center"/>
      <protection/>
    </xf>
    <xf numFmtId="0" fontId="12" fillId="16" borderId="56" xfId="0" applyFont="1" applyFill="1" applyBorder="1" applyAlignment="1" applyProtection="1">
      <alignment horizontal="center"/>
      <protection/>
    </xf>
    <xf numFmtId="172" fontId="12" fillId="2" borderId="243" xfId="0" applyNumberFormat="1" applyFont="1" applyFill="1" applyBorder="1" applyAlignment="1" applyProtection="1">
      <alignment horizontal="center"/>
      <protection/>
    </xf>
    <xf numFmtId="172" fontId="12" fillId="2" borderId="69" xfId="0" applyNumberFormat="1" applyFont="1" applyFill="1" applyBorder="1" applyAlignment="1" applyProtection="1">
      <alignment horizontal="center"/>
      <protection/>
    </xf>
    <xf numFmtId="172" fontId="12" fillId="2" borderId="265" xfId="0" applyNumberFormat="1" applyFont="1" applyFill="1" applyBorder="1" applyAlignment="1" applyProtection="1">
      <alignment horizontal="center"/>
      <protection/>
    </xf>
    <xf numFmtId="0" fontId="1" fillId="8" borderId="231" xfId="0" applyFont="1" applyFill="1" applyBorder="1" applyAlignment="1" applyProtection="1">
      <alignment horizontal="center"/>
      <protection/>
    </xf>
    <xf numFmtId="0" fontId="1" fillId="8" borderId="266" xfId="0" applyFont="1" applyFill="1" applyBorder="1" applyAlignment="1" applyProtection="1">
      <alignment horizontal="center"/>
      <protection/>
    </xf>
    <xf numFmtId="0" fontId="8" fillId="8" borderId="267" xfId="0" applyFont="1" applyFill="1" applyBorder="1" applyAlignment="1" applyProtection="1">
      <alignment horizontal="center"/>
      <protection/>
    </xf>
    <xf numFmtId="0" fontId="8" fillId="8" borderId="268" xfId="0" applyFont="1" applyFill="1" applyBorder="1" applyAlignment="1" applyProtection="1">
      <alignment horizontal="center"/>
      <protection/>
    </xf>
    <xf numFmtId="0" fontId="21" fillId="16" borderId="269" xfId="0" applyFont="1" applyFill="1" applyBorder="1" applyAlignment="1" applyProtection="1">
      <alignment horizontal="center"/>
      <protection/>
    </xf>
    <xf numFmtId="0" fontId="21" fillId="16" borderId="264" xfId="0" applyFont="1" applyFill="1" applyBorder="1" applyAlignment="1" applyProtection="1">
      <alignment horizontal="center"/>
      <protection/>
    </xf>
    <xf numFmtId="0" fontId="12" fillId="16" borderId="56" xfId="0" applyFont="1" applyFill="1" applyBorder="1" applyAlignment="1" applyProtection="1">
      <alignment horizontal="right"/>
      <protection/>
    </xf>
    <xf numFmtId="0" fontId="12" fillId="7" borderId="243" xfId="0" applyFont="1" applyFill="1" applyBorder="1" applyAlignment="1" applyProtection="1">
      <alignment horizontal="center"/>
      <protection/>
    </xf>
    <xf numFmtId="0" fontId="12" fillId="7" borderId="244" xfId="0" applyFont="1" applyFill="1" applyBorder="1" applyAlignment="1" applyProtection="1">
      <alignment horizontal="center"/>
      <protection/>
    </xf>
    <xf numFmtId="0" fontId="12" fillId="7" borderId="176" xfId="0" applyFont="1" applyFill="1" applyBorder="1" applyAlignment="1" applyProtection="1">
      <alignment horizontal="center"/>
      <protection/>
    </xf>
    <xf numFmtId="0" fontId="12" fillId="7" borderId="49" xfId="0" applyFont="1" applyFill="1" applyBorder="1" applyAlignment="1" applyProtection="1">
      <alignment horizontal="center"/>
      <protection/>
    </xf>
    <xf numFmtId="21" fontId="8" fillId="16" borderId="215" xfId="0" applyNumberFormat="1" applyFont="1" applyFill="1" applyBorder="1" applyAlignment="1" applyProtection="1">
      <alignment horizontal="center"/>
      <protection/>
    </xf>
    <xf numFmtId="0" fontId="8" fillId="8" borderId="259" xfId="0" applyFont="1" applyFill="1" applyBorder="1" applyAlignment="1" applyProtection="1">
      <alignment horizontal="center"/>
      <protection/>
    </xf>
    <xf numFmtId="0" fontId="8" fillId="8" borderId="260" xfId="0" applyFont="1" applyFill="1" applyBorder="1" applyAlignment="1" applyProtection="1">
      <alignment horizontal="center"/>
      <protection/>
    </xf>
    <xf numFmtId="172" fontId="23" fillId="16" borderId="113" xfId="0" applyNumberFormat="1" applyFont="1" applyFill="1" applyBorder="1" applyAlignment="1" applyProtection="1">
      <alignment horizontal="right"/>
      <protection/>
    </xf>
    <xf numFmtId="172" fontId="23" fillId="16" borderId="70" xfId="0" applyNumberFormat="1" applyFont="1" applyFill="1" applyBorder="1" applyAlignment="1" applyProtection="1">
      <alignment horizontal="right"/>
      <protection/>
    </xf>
    <xf numFmtId="172" fontId="23" fillId="16" borderId="270" xfId="0" applyNumberFormat="1" applyFont="1" applyFill="1" applyBorder="1" applyAlignment="1" applyProtection="1">
      <alignment horizontal="right"/>
      <protection/>
    </xf>
    <xf numFmtId="0" fontId="9" fillId="16" borderId="215" xfId="0" applyFont="1" applyFill="1" applyBorder="1" applyAlignment="1">
      <alignment horizontal="center"/>
    </xf>
    <xf numFmtId="0" fontId="9" fillId="16" borderId="216" xfId="0" applyFont="1" applyFill="1" applyBorder="1" applyAlignment="1">
      <alignment horizontal="center"/>
    </xf>
    <xf numFmtId="0" fontId="9" fillId="16" borderId="46" xfId="0" applyFont="1" applyFill="1" applyBorder="1" applyAlignment="1">
      <alignment horizontal="center"/>
    </xf>
    <xf numFmtId="0" fontId="9" fillId="16" borderId="166" xfId="0" applyFont="1" applyFill="1" applyBorder="1" applyAlignment="1">
      <alignment horizontal="center"/>
    </xf>
    <xf numFmtId="1" fontId="17" fillId="0" borderId="83" xfId="0" applyNumberFormat="1" applyFont="1" applyFill="1" applyBorder="1" applyAlignment="1" applyProtection="1">
      <alignment horizontal="center"/>
      <protection locked="0"/>
    </xf>
    <xf numFmtId="1" fontId="17" fillId="0" borderId="54" xfId="0" applyNumberFormat="1" applyFont="1" applyFill="1" applyBorder="1" applyAlignment="1" applyProtection="1">
      <alignment horizontal="center"/>
      <protection locked="0"/>
    </xf>
    <xf numFmtId="1" fontId="17" fillId="0" borderId="123" xfId="0" applyNumberFormat="1" applyFont="1" applyFill="1" applyBorder="1" applyAlignment="1" applyProtection="1">
      <alignment horizontal="center"/>
      <protection locked="0"/>
    </xf>
    <xf numFmtId="1" fontId="17" fillId="0" borderId="49" xfId="0" applyNumberFormat="1" applyFont="1" applyFill="1" applyBorder="1" applyAlignment="1" applyProtection="1">
      <alignment horizontal="center"/>
      <protection locked="0"/>
    </xf>
    <xf numFmtId="0" fontId="17" fillId="0" borderId="186" xfId="0" applyFont="1" applyFill="1" applyBorder="1" applyAlignment="1" applyProtection="1">
      <alignment horizontal="center"/>
      <protection locked="0"/>
    </xf>
    <xf numFmtId="0" fontId="17" fillId="0" borderId="68" xfId="0" applyFont="1" applyFill="1" applyBorder="1" applyAlignment="1" applyProtection="1">
      <alignment horizontal="center"/>
      <protection locked="0"/>
    </xf>
    <xf numFmtId="0" fontId="17" fillId="0" borderId="271" xfId="0" applyFont="1" applyFill="1" applyBorder="1" applyAlignment="1" applyProtection="1">
      <alignment horizontal="center"/>
      <protection locked="0"/>
    </xf>
    <xf numFmtId="1" fontId="7" fillId="25" borderId="167" xfId="0" applyNumberFormat="1" applyFont="1" applyFill="1" applyBorder="1" applyAlignment="1" applyProtection="1">
      <alignment horizontal="center"/>
      <protection/>
    </xf>
    <xf numFmtId="1" fontId="7" fillId="25" borderId="242" xfId="0" applyNumberFormat="1" applyFont="1" applyFill="1" applyBorder="1" applyAlignment="1" applyProtection="1">
      <alignment horizontal="center"/>
      <protection/>
    </xf>
    <xf numFmtId="1" fontId="7" fillId="25" borderId="120" xfId="0" applyNumberFormat="1" applyFont="1" applyFill="1" applyBorder="1" applyAlignment="1" applyProtection="1">
      <alignment horizontal="center"/>
      <protection/>
    </xf>
    <xf numFmtId="1" fontId="7" fillId="25" borderId="51" xfId="0" applyNumberFormat="1" applyFont="1" applyFill="1" applyBorder="1" applyAlignment="1" applyProtection="1">
      <alignment horizontal="center"/>
      <protection/>
    </xf>
    <xf numFmtId="0" fontId="12" fillId="16" borderId="256" xfId="0" applyFont="1" applyFill="1" applyBorder="1" applyAlignment="1">
      <alignment horizontal="center"/>
    </xf>
    <xf numFmtId="0" fontId="12" fillId="16" borderId="139" xfId="0" applyFont="1" applyFill="1" applyBorder="1" applyAlignment="1">
      <alignment horizontal="center"/>
    </xf>
    <xf numFmtId="0" fontId="12" fillId="16" borderId="240" xfId="0" applyFont="1" applyFill="1" applyBorder="1" applyAlignment="1">
      <alignment horizontal="center"/>
    </xf>
    <xf numFmtId="0" fontId="12" fillId="16" borderId="247" xfId="0" applyFont="1" applyFill="1" applyBorder="1" applyAlignment="1">
      <alignment horizontal="center"/>
    </xf>
    <xf numFmtId="0" fontId="12" fillId="16" borderId="186" xfId="0" applyFont="1" applyFill="1" applyBorder="1" applyAlignment="1">
      <alignment horizontal="center"/>
    </xf>
    <xf numFmtId="0" fontId="12" fillId="16" borderId="271" xfId="0" applyFont="1" applyFill="1" applyBorder="1" applyAlignment="1">
      <alignment horizontal="center"/>
    </xf>
    <xf numFmtId="1" fontId="7" fillId="25" borderId="54" xfId="0" applyNumberFormat="1" applyFont="1" applyFill="1" applyBorder="1" applyAlignment="1" applyProtection="1">
      <alignment horizontal="center"/>
      <protection/>
    </xf>
    <xf numFmtId="1" fontId="7" fillId="25" borderId="72" xfId="0" applyNumberFormat="1" applyFont="1" applyFill="1" applyBorder="1" applyAlignment="1" applyProtection="1">
      <alignment horizontal="center"/>
      <protection/>
    </xf>
    <xf numFmtId="1" fontId="7" fillId="25" borderId="83" xfId="0" applyNumberFormat="1" applyFont="1" applyFill="1" applyBorder="1" applyAlignment="1" applyProtection="1">
      <alignment horizontal="center"/>
      <protection/>
    </xf>
    <xf numFmtId="0" fontId="12" fillId="16" borderId="136" xfId="0" applyFont="1" applyFill="1" applyBorder="1" applyAlignment="1" applyProtection="1">
      <alignment horizontal="center"/>
      <protection/>
    </xf>
    <xf numFmtId="0" fontId="12" fillId="16" borderId="64" xfId="0" applyFont="1" applyFill="1" applyBorder="1" applyAlignment="1" applyProtection="1">
      <alignment horizontal="center"/>
      <protection/>
    </xf>
    <xf numFmtId="0" fontId="12" fillId="16" borderId="121" xfId="0" applyFont="1" applyFill="1" applyBorder="1" applyAlignment="1" applyProtection="1">
      <alignment horizontal="center"/>
      <protection/>
    </xf>
    <xf numFmtId="0" fontId="8" fillId="16" borderId="21" xfId="0" applyFont="1" applyFill="1" applyBorder="1" applyAlignment="1">
      <alignment horizontal="center"/>
    </xf>
    <xf numFmtId="0" fontId="8" fillId="16" borderId="92" xfId="0" applyFont="1" applyFill="1" applyBorder="1" applyAlignment="1">
      <alignment horizontal="center"/>
    </xf>
    <xf numFmtId="0" fontId="12" fillId="16" borderId="69" xfId="0" applyFont="1" applyFill="1" applyBorder="1" applyAlignment="1">
      <alignment horizontal="center"/>
    </xf>
    <xf numFmtId="0" fontId="12" fillId="16" borderId="70" xfId="0" applyFont="1" applyFill="1" applyBorder="1" applyAlignment="1">
      <alignment horizontal="center"/>
    </xf>
    <xf numFmtId="14" fontId="45" fillId="24" borderId="46" xfId="0" applyNumberFormat="1" applyFont="1" applyFill="1" applyBorder="1" applyAlignment="1" applyProtection="1">
      <alignment horizontal="center" vertical="top"/>
      <protection locked="0"/>
    </xf>
    <xf numFmtId="0" fontId="45" fillId="24" borderId="116" xfId="0" applyNumberFormat="1" applyFont="1" applyFill="1" applyBorder="1" applyAlignment="1" applyProtection="1">
      <alignment horizontal="center" vertical="top"/>
      <protection locked="0"/>
    </xf>
    <xf numFmtId="0" fontId="6" fillId="24" borderId="46" xfId="0" applyFont="1" applyFill="1" applyBorder="1" applyAlignment="1" applyProtection="1">
      <alignment horizontal="center"/>
      <protection/>
    </xf>
    <xf numFmtId="0" fontId="6" fillId="24" borderId="0" xfId="0" applyFont="1" applyFill="1" applyBorder="1" applyAlignment="1" applyProtection="1">
      <alignment horizontal="center"/>
      <protection/>
    </xf>
    <xf numFmtId="0" fontId="8" fillId="0" borderId="71" xfId="0" applyFont="1" applyFill="1" applyBorder="1" applyAlignment="1" applyProtection="1">
      <alignment horizontal="center"/>
      <protection/>
    </xf>
    <xf numFmtId="0" fontId="8" fillId="0" borderId="47" xfId="0" applyFont="1" applyFill="1" applyBorder="1" applyAlignment="1" applyProtection="1">
      <alignment horizontal="center"/>
      <protection/>
    </xf>
    <xf numFmtId="220" fontId="1" fillId="8" borderId="256" xfId="0" applyNumberFormat="1" applyFont="1" applyFill="1" applyBorder="1" applyAlignment="1" applyProtection="1">
      <alignment horizontal="center"/>
      <protection/>
    </xf>
    <xf numFmtId="220" fontId="1" fillId="8" borderId="194" xfId="0" applyNumberFormat="1" applyFont="1" applyFill="1" applyBorder="1" applyAlignment="1" applyProtection="1">
      <alignment horizontal="center"/>
      <protection/>
    </xf>
    <xf numFmtId="0" fontId="9" fillId="16" borderId="272" xfId="0" applyFont="1" applyFill="1" applyBorder="1" applyAlignment="1" applyProtection="1">
      <alignment horizontal="center"/>
      <protection/>
    </xf>
    <xf numFmtId="0" fontId="9" fillId="16" borderId="273" xfId="0" applyFont="1" applyFill="1" applyBorder="1" applyAlignment="1" applyProtection="1">
      <alignment horizontal="center"/>
      <protection/>
    </xf>
    <xf numFmtId="0" fontId="12" fillId="7" borderId="240" xfId="0" applyFont="1" applyFill="1" applyBorder="1" applyAlignment="1" applyProtection="1">
      <alignment horizontal="center"/>
      <protection/>
    </xf>
    <xf numFmtId="0" fontId="12" fillId="7" borderId="242" xfId="0" applyFont="1" applyFill="1" applyBorder="1" applyAlignment="1" applyProtection="1">
      <alignment horizontal="center"/>
      <protection/>
    </xf>
    <xf numFmtId="172" fontId="17" fillId="0" borderId="49" xfId="0" applyNumberFormat="1" applyFont="1" applyFill="1" applyBorder="1" applyAlignment="1" applyProtection="1">
      <alignment horizontal="center"/>
      <protection locked="0"/>
    </xf>
    <xf numFmtId="183" fontId="8" fillId="2" borderId="151" xfId="0" applyNumberFormat="1" applyFont="1" applyFill="1" applyBorder="1" applyAlignment="1" applyProtection="1">
      <alignment horizontal="center"/>
      <protection/>
    </xf>
    <xf numFmtId="183" fontId="8" fillId="2" borderId="68" xfId="0" applyNumberFormat="1" applyFont="1" applyFill="1" applyBorder="1" applyAlignment="1" applyProtection="1">
      <alignment horizontal="center"/>
      <protection/>
    </xf>
    <xf numFmtId="172" fontId="17" fillId="0" borderId="54" xfId="0" applyNumberFormat="1" applyFont="1" applyFill="1" applyBorder="1" applyAlignment="1" applyProtection="1">
      <alignment horizontal="center"/>
      <protection locked="0"/>
    </xf>
    <xf numFmtId="0" fontId="8" fillId="16" borderId="274" xfId="0" applyFont="1" applyFill="1" applyBorder="1" applyAlignment="1" applyProtection="1">
      <alignment horizontal="center"/>
      <protection/>
    </xf>
    <xf numFmtId="0" fontId="8" fillId="16" borderId="275" xfId="0" applyFont="1" applyFill="1" applyBorder="1" applyAlignment="1" applyProtection="1">
      <alignment horizontal="center"/>
      <protection/>
    </xf>
    <xf numFmtId="21" fontId="40" fillId="0" borderId="276" xfId="0" applyNumberFormat="1" applyFont="1" applyFill="1" applyBorder="1" applyAlignment="1" applyProtection="1">
      <alignment horizontal="center" vertical="center"/>
      <protection locked="0"/>
    </xf>
    <xf numFmtId="21" fontId="40" fillId="0" borderId="188" xfId="0" applyNumberFormat="1" applyFont="1" applyFill="1" applyBorder="1" applyAlignment="1" applyProtection="1">
      <alignment horizontal="center" vertical="center"/>
      <protection locked="0"/>
    </xf>
    <xf numFmtId="0" fontId="8" fillId="2" borderId="186" xfId="0" applyFont="1" applyFill="1" applyBorder="1" applyAlignment="1" applyProtection="1">
      <alignment horizontal="center"/>
      <protection/>
    </xf>
    <xf numFmtId="0" fontId="8" fillId="2" borderId="68" xfId="0" applyFont="1" applyFill="1" applyBorder="1" applyAlignment="1" applyProtection="1">
      <alignment horizontal="center"/>
      <protection/>
    </xf>
    <xf numFmtId="0" fontId="8" fillId="2" borderId="271" xfId="0" applyFont="1" applyFill="1" applyBorder="1" applyAlignment="1" applyProtection="1">
      <alignment horizontal="center"/>
      <protection/>
    </xf>
    <xf numFmtId="0" fontId="8" fillId="2" borderId="240" xfId="0" applyFont="1" applyFill="1" applyBorder="1" applyAlignment="1" applyProtection="1">
      <alignment horizontal="center"/>
      <protection/>
    </xf>
    <xf numFmtId="0" fontId="8" fillId="2" borderId="241" xfId="0" applyFont="1" applyFill="1" applyBorder="1" applyAlignment="1" applyProtection="1">
      <alignment horizontal="center"/>
      <protection/>
    </xf>
    <xf numFmtId="0" fontId="8" fillId="2" borderId="247" xfId="0" applyFont="1" applyFill="1" applyBorder="1" applyAlignment="1" applyProtection="1">
      <alignment horizontal="center"/>
      <protection/>
    </xf>
    <xf numFmtId="0" fontId="0" fillId="16" borderId="239" xfId="0" applyFill="1" applyBorder="1" applyAlignment="1" applyProtection="1">
      <alignment horizontal="center"/>
      <protection/>
    </xf>
    <xf numFmtId="0" fontId="21" fillId="16" borderId="92" xfId="0" applyFont="1" applyFill="1" applyBorder="1" applyAlignment="1" applyProtection="1">
      <alignment horizontal="center"/>
      <protection/>
    </xf>
    <xf numFmtId="1" fontId="7" fillId="2" borderId="120" xfId="0" applyNumberFormat="1" applyFont="1" applyFill="1" applyBorder="1" applyAlignment="1" applyProtection="1">
      <alignment horizontal="center"/>
      <protection/>
    </xf>
    <xf numFmtId="1" fontId="7" fillId="2" borderId="51" xfId="0" applyNumberFormat="1" applyFont="1" applyFill="1" applyBorder="1" applyAlignment="1" applyProtection="1">
      <alignment horizontal="center"/>
      <protection/>
    </xf>
    <xf numFmtId="1" fontId="7" fillId="2" borderId="123" xfId="0" applyNumberFormat="1" applyFont="1" applyFill="1" applyBorder="1" applyAlignment="1" applyProtection="1">
      <alignment horizontal="center"/>
      <protection/>
    </xf>
    <xf numFmtId="1" fontId="7" fillId="2" borderId="49" xfId="0" applyNumberFormat="1" applyFont="1" applyFill="1" applyBorder="1" applyAlignment="1" applyProtection="1">
      <alignment horizontal="center"/>
      <protection/>
    </xf>
    <xf numFmtId="183" fontId="7" fillId="2" borderId="151" xfId="0" applyNumberFormat="1" applyFont="1" applyFill="1" applyBorder="1" applyAlignment="1" applyProtection="1">
      <alignment horizontal="center"/>
      <protection/>
    </xf>
    <xf numFmtId="183" fontId="7" fillId="2" borderId="68" xfId="0" applyNumberFormat="1" applyFont="1" applyFill="1" applyBorder="1" applyAlignment="1" applyProtection="1">
      <alignment horizontal="center"/>
      <protection/>
    </xf>
    <xf numFmtId="172" fontId="9" fillId="2" borderId="49" xfId="0" applyNumberFormat="1" applyFont="1" applyFill="1" applyBorder="1" applyAlignment="1" applyProtection="1">
      <alignment horizontal="center"/>
      <protection/>
    </xf>
    <xf numFmtId="183" fontId="8" fillId="2" borderId="72" xfId="0" applyNumberFormat="1" applyFont="1" applyFill="1" applyBorder="1" applyAlignment="1" applyProtection="1">
      <alignment horizontal="center"/>
      <protection/>
    </xf>
    <xf numFmtId="183" fontId="8" fillId="2" borderId="69" xfId="0" applyNumberFormat="1" applyFont="1" applyFill="1" applyBorder="1" applyAlignment="1" applyProtection="1">
      <alignment horizontal="center"/>
      <protection/>
    </xf>
    <xf numFmtId="0" fontId="17" fillId="0" borderId="243" xfId="0" applyFont="1" applyFill="1" applyBorder="1" applyAlignment="1" applyProtection="1">
      <alignment horizontal="center"/>
      <protection locked="0"/>
    </xf>
    <xf numFmtId="0" fontId="17" fillId="0" borderId="69" xfId="0" applyFont="1" applyFill="1" applyBorder="1" applyAlignment="1" applyProtection="1">
      <alignment horizontal="center"/>
      <protection locked="0"/>
    </xf>
    <xf numFmtId="0" fontId="17" fillId="0" borderId="265" xfId="0" applyFont="1" applyFill="1" applyBorder="1" applyAlignment="1" applyProtection="1">
      <alignment horizontal="center"/>
      <protection locked="0"/>
    </xf>
    <xf numFmtId="0" fontId="1" fillId="8" borderId="256" xfId="0" applyFont="1" applyFill="1" applyBorder="1" applyAlignment="1" applyProtection="1">
      <alignment horizontal="center"/>
      <protection/>
    </xf>
    <xf numFmtId="0" fontId="1" fillId="8" borderId="70" xfId="0" applyFont="1" applyFill="1" applyBorder="1" applyAlignment="1" applyProtection="1">
      <alignment horizontal="center"/>
      <protection/>
    </xf>
    <xf numFmtId="0" fontId="26" fillId="16" borderId="71" xfId="0" applyFont="1" applyFill="1" applyBorder="1" applyAlignment="1" applyProtection="1">
      <alignment horizontal="center"/>
      <protection/>
    </xf>
    <xf numFmtId="0" fontId="26" fillId="16" borderId="47" xfId="0" applyFont="1" applyFill="1" applyBorder="1" applyAlignment="1" applyProtection="1">
      <alignment horizontal="center"/>
      <protection/>
    </xf>
    <xf numFmtId="0" fontId="12" fillId="16" borderId="238" xfId="0" applyFont="1" applyFill="1" applyBorder="1" applyAlignment="1" applyProtection="1">
      <alignment horizontal="center"/>
      <protection/>
    </xf>
    <xf numFmtId="0" fontId="12" fillId="16" borderId="158" xfId="0" applyFont="1" applyFill="1" applyBorder="1" applyAlignment="1" applyProtection="1">
      <alignment horizontal="center"/>
      <protection/>
    </xf>
    <xf numFmtId="0" fontId="1" fillId="8" borderId="85" xfId="0" applyFont="1" applyFill="1" applyBorder="1" applyAlignment="1" applyProtection="1">
      <alignment horizontal="center"/>
      <protection/>
    </xf>
    <xf numFmtId="0" fontId="1" fillId="8" borderId="277" xfId="0" applyFont="1" applyFill="1" applyBorder="1" applyAlignment="1" applyProtection="1">
      <alignment horizontal="center"/>
      <protection/>
    </xf>
    <xf numFmtId="0" fontId="12" fillId="8" borderId="12" xfId="0" applyFont="1" applyFill="1" applyBorder="1" applyAlignment="1" applyProtection="1">
      <alignment horizontal="center"/>
      <protection/>
    </xf>
    <xf numFmtId="0" fontId="12" fillId="8" borderId="182" xfId="0" applyFont="1" applyFill="1" applyBorder="1" applyAlignment="1" applyProtection="1">
      <alignment horizontal="center"/>
      <protection/>
    </xf>
    <xf numFmtId="0" fontId="1" fillId="8" borderId="196" xfId="0" applyFont="1" applyFill="1" applyBorder="1" applyAlignment="1" applyProtection="1">
      <alignment horizontal="center"/>
      <protection/>
    </xf>
    <xf numFmtId="1" fontId="7" fillId="25" borderId="241" xfId="0" applyNumberFormat="1" applyFont="1" applyFill="1" applyBorder="1" applyAlignment="1" applyProtection="1">
      <alignment horizontal="center"/>
      <protection/>
    </xf>
    <xf numFmtId="0" fontId="4" fillId="0" borderId="0" xfId="53" applyBorder="1" applyAlignment="1" applyProtection="1">
      <alignment horizontal="left"/>
      <protection/>
    </xf>
    <xf numFmtId="0" fontId="0" fillId="0" borderId="0" xfId="0" applyBorder="1" applyAlignment="1">
      <alignment horizontal="center"/>
    </xf>
    <xf numFmtId="0" fontId="4" fillId="0" borderId="0" xfId="51" applyBorder="1" applyAlignment="1" applyProtection="1">
      <alignment horizontal="left"/>
      <protection/>
    </xf>
    <xf numFmtId="0" fontId="4" fillId="0" borderId="17" xfId="51" applyBorder="1" applyAlignment="1" applyProtection="1">
      <alignment horizontal="lef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eading" xfId="50"/>
    <cellStyle name="Hyperlink" xfId="51"/>
    <cellStyle name="Followed Hyperlink" xfId="52"/>
    <cellStyle name="Hyperlink_DanielsTables2-9h-01" xfId="53"/>
    <cellStyle name="Incorrecto" xfId="54"/>
    <cellStyle name="Comma" xfId="55"/>
    <cellStyle name="Comma [0]" xfId="56"/>
    <cellStyle name="Currency" xfId="57"/>
    <cellStyle name="Currency [0]" xfId="58"/>
    <cellStyle name="Neutral" xfId="59"/>
    <cellStyle name="non-user" xfId="60"/>
    <cellStyle name="Nota" xfId="61"/>
    <cellStyle name="Percent" xfId="62"/>
    <cellStyle name="Salida" xfId="63"/>
    <cellStyle name="Título" xfId="64"/>
    <cellStyle name="Total" xfId="65"/>
    <cellStyle name="user" xfId="66"/>
  </cellStyles>
  <dxfs count="21">
    <dxf>
      <font>
        <color indexed="22"/>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10"/>
      </font>
    </dxf>
    <dxf>
      <font>
        <color indexed="10"/>
      </font>
    </dxf>
    <dxf>
      <font>
        <color indexed="10"/>
      </font>
    </dxf>
    <dxf>
      <font>
        <color indexed="10"/>
      </font>
    </dxf>
    <dxf>
      <font>
        <color indexed="10"/>
      </font>
    </dxf>
    <dxf>
      <font>
        <b val="0"/>
        <i val="0"/>
        <color indexed="10"/>
      </font>
    </dxf>
    <dxf>
      <font>
        <b val="0"/>
        <i val="0"/>
        <strike val="0"/>
        <color indexed="10"/>
      </font>
      <fill>
        <patternFill patternType="solid">
          <fgColor indexed="65"/>
          <bgColor indexed="26"/>
        </patternFill>
      </fill>
    </dxf>
    <dxf>
      <font>
        <b/>
        <i val="0"/>
        <color indexed="10"/>
      </font>
      <fill>
        <patternFill>
          <bgColor indexed="13"/>
        </patternFill>
      </fill>
    </dxf>
    <dxf>
      <font>
        <b/>
        <i val="0"/>
      </font>
    </dxf>
    <dxf>
      <font>
        <b/>
        <i val="0"/>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af.org/statistics/records/index.html" TargetMode="External" /><Relationship Id="rId2" Type="http://schemas.openxmlformats.org/officeDocument/2006/relationships/hyperlink" Target="http://www.runningusa.org/php/rec-form.php" TargetMode="External" /><Relationship Id="rId3" Type="http://schemas.openxmlformats.org/officeDocument/2006/relationships/hyperlink" Target="http://arrs.net/" TargetMode="External" /><Relationship Id="rId4" Type="http://schemas.openxmlformats.org/officeDocument/2006/relationships/hyperlink" Target="http://www.mcmillanrunning.com/mcmillanrunningcalculator.htm" TargetMode="External" /><Relationship Id="rId5" Type="http://schemas.openxmlformats.org/officeDocument/2006/relationships/hyperlink" Target="http://www.joefrielsblog.com/" TargetMode="External" /><Relationship Id="rId6" Type="http://schemas.openxmlformats.org/officeDocument/2006/relationships/comments" Target="../comments1.xml" /><Relationship Id="rId7"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cmillanrunning.com/" TargetMode="External" /><Relationship Id="rId2" Type="http://schemas.openxmlformats.org/officeDocument/2006/relationships/hyperlink" Target="http://www.mcmillanrunning.com/training4.htm" TargetMode="External" /><Relationship Id="rId3" Type="http://schemas.openxmlformats.org/officeDocument/2006/relationships/hyperlink" Target="http://www.electricblues.com/runpro.html" TargetMode="External" /><Relationship Id="rId4" Type="http://schemas.openxmlformats.org/officeDocument/2006/relationships/hyperlink" Target="http://www.electricblues.com/runpro.html" TargetMode="External" /><Relationship Id="rId5" Type="http://schemas.openxmlformats.org/officeDocument/2006/relationships/hyperlink" Target="http://www.mcmillanrunning.com/" TargetMode="External" /><Relationship Id="rId6" Type="http://schemas.openxmlformats.org/officeDocument/2006/relationships/hyperlink" Target="http://electricblues.com/html/JoeFrielsQuickGuide.pdf" TargetMode="External" /><Relationship Id="rId7" Type="http://schemas.openxmlformats.org/officeDocument/2006/relationships/hyperlink" Target="http://www.joefrielsblog.com/" TargetMode="External" /></Relationships>
</file>

<file path=xl/worksheets/sheet1.xml><?xml version="1.0" encoding="utf-8"?>
<worksheet xmlns="http://schemas.openxmlformats.org/spreadsheetml/2006/main" xmlns:r="http://schemas.openxmlformats.org/officeDocument/2006/relationships">
  <sheetPr codeName="Sheet12">
    <pageSetUpPr fitToPage="1"/>
  </sheetPr>
  <dimension ref="A1:AF220"/>
  <sheetViews>
    <sheetView showGridLines="0" tabSelected="1" zoomScale="125" zoomScaleNormal="125" workbookViewId="0" topLeftCell="A1">
      <selection activeCell="K16" sqref="K16"/>
    </sheetView>
  </sheetViews>
  <sheetFormatPr defaultColWidth="9.140625" defaultRowHeight="12.75"/>
  <cols>
    <col min="1" max="1" width="0.85546875" style="23" customWidth="1"/>
    <col min="2" max="2" width="10.7109375" style="23" customWidth="1"/>
    <col min="3" max="3" width="6.421875" style="24" customWidth="1"/>
    <col min="4" max="4" width="8.140625" style="23" customWidth="1"/>
    <col min="5" max="5" width="8.7109375" style="23" customWidth="1"/>
    <col min="6" max="11" width="8.140625" style="23" customWidth="1"/>
    <col min="12" max="13" width="8.7109375" style="23" customWidth="1"/>
    <col min="14" max="18" width="8.28125" style="23" customWidth="1"/>
    <col min="19" max="19" width="9.140625" style="24" hidden="1" customWidth="1"/>
    <col min="20" max="20" width="10.140625" style="24" hidden="1" customWidth="1"/>
    <col min="21" max="22" width="10.140625" style="23" hidden="1" customWidth="1"/>
    <col min="23" max="24" width="9.140625" style="23" hidden="1" customWidth="1"/>
    <col min="25" max="29" width="12.7109375" style="23" hidden="1" customWidth="1"/>
    <col min="30" max="30" width="9.140625" style="23" hidden="1" customWidth="1"/>
    <col min="31" max="16384" width="9.140625" style="23" customWidth="1"/>
  </cols>
  <sheetData>
    <row r="1" ht="6" customHeight="1" thickBot="1">
      <c r="A1" s="25"/>
    </row>
    <row r="2" spans="1:18" ht="13.5" customHeight="1" thickBot="1" thickTop="1">
      <c r="A2" s="25"/>
      <c r="B2" s="282" t="str">
        <f>IF($B$4,"Height (cm):","Height (in):")</f>
        <v>Height (cm):</v>
      </c>
      <c r="C2" s="283">
        <v>167</v>
      </c>
      <c r="D2" s="284" t="s">
        <v>242</v>
      </c>
      <c r="E2" s="404">
        <v>24150</v>
      </c>
      <c r="F2" s="254"/>
      <c r="G2" s="920" t="s">
        <v>312</v>
      </c>
      <c r="H2" s="920"/>
      <c r="I2" s="920"/>
      <c r="J2" s="920"/>
      <c r="K2" s="920"/>
      <c r="L2" s="920"/>
      <c r="M2" s="920"/>
      <c r="N2" s="75"/>
      <c r="O2" s="75"/>
      <c r="P2" s="75"/>
      <c r="Q2" s="918">
        <v>40665</v>
      </c>
      <c r="R2" s="919"/>
    </row>
    <row r="3" spans="2:20" s="45" customFormat="1" ht="13.5" customHeight="1">
      <c r="B3" s="251" t="str">
        <f>"Weight"&amp;IF($B$4," (kg):"," (lb):")</f>
        <v>Weight (kg):</v>
      </c>
      <c r="C3" s="265">
        <v>68</v>
      </c>
      <c r="D3" s="400" t="s">
        <v>179</v>
      </c>
      <c r="E3" s="402">
        <v>170</v>
      </c>
      <c r="F3" s="398"/>
      <c r="G3" s="921"/>
      <c r="H3" s="921"/>
      <c r="I3" s="921"/>
      <c r="J3" s="921"/>
      <c r="K3" s="921"/>
      <c r="L3" s="921"/>
      <c r="M3" s="921"/>
      <c r="N3" s="399"/>
      <c r="O3" s="399"/>
      <c r="P3" s="399"/>
      <c r="Q3" s="922" t="s">
        <v>71</v>
      </c>
      <c r="R3" s="923"/>
      <c r="S3" s="47"/>
      <c r="T3" s="47"/>
    </row>
    <row r="4" spans="2:20" s="45" customFormat="1" ht="13.5" customHeight="1" thickBot="1">
      <c r="B4" s="285" t="b">
        <v>1</v>
      </c>
      <c r="C4" s="286" t="b">
        <v>1</v>
      </c>
      <c r="D4" s="401" t="s">
        <v>240</v>
      </c>
      <c r="E4" s="253">
        <v>50</v>
      </c>
      <c r="F4" s="76"/>
      <c r="G4" s="726" t="s">
        <v>111</v>
      </c>
      <c r="H4" s="726"/>
      <c r="I4" s="726"/>
      <c r="J4" s="726"/>
      <c r="K4" s="726"/>
      <c r="L4" s="726"/>
      <c r="M4" s="726"/>
      <c r="N4" s="76"/>
      <c r="O4" s="76"/>
      <c r="P4" s="76"/>
      <c r="Q4" s="729" t="s">
        <v>70</v>
      </c>
      <c r="R4" s="730"/>
      <c r="S4" s="47"/>
      <c r="T4" s="47"/>
    </row>
    <row r="5" spans="1:18" ht="13.5" customHeight="1" thickBot="1">
      <c r="A5" s="45"/>
      <c r="B5" s="688" t="s">
        <v>243</v>
      </c>
      <c r="C5" s="689"/>
      <c r="D5" s="689"/>
      <c r="E5" s="405">
        <f ca="1">IF(AND(DATEDIF($E$2,NOW(),"y")&gt;=0,DATEDIF($E$2,NOW(),"y")&lt;110),DATEDIF($E$2,NOW(),"y"),"Birthdate?")</f>
        <v>45</v>
      </c>
      <c r="H5" s="67"/>
      <c r="J5" s="46"/>
      <c r="K5" s="566"/>
      <c r="L5" s="736" t="s">
        <v>34</v>
      </c>
      <c r="M5" s="736"/>
      <c r="N5" s="736"/>
      <c r="O5" s="565"/>
      <c r="P5" s="68"/>
      <c r="Q5" s="435"/>
      <c r="R5" s="59"/>
    </row>
    <row r="6" spans="1:18" ht="13.5" customHeight="1" thickBot="1">
      <c r="A6" s="45"/>
      <c r="B6" s="308"/>
      <c r="D6" s="241" t="s">
        <v>180</v>
      </c>
      <c r="E6" s="255" t="s">
        <v>6</v>
      </c>
      <c r="F6" s="241" t="s">
        <v>45</v>
      </c>
      <c r="G6" s="242">
        <v>0.06119212962962963</v>
      </c>
      <c r="H6" s="252"/>
      <c r="I6" s="734">
        <f>IF(AND($E$6&gt;0,$G$6&gt;0),ROUND((-4.6+0.182258*(F8/G6/1440)+0.000104*(F8/G6/1440)^2)/D9,1),"0")</f>
        <v>52.2</v>
      </c>
      <c r="J6" s="735"/>
      <c r="K6" s="637" t="s">
        <v>245</v>
      </c>
      <c r="L6" s="638">
        <f>IF(AND($E$6&gt;0,$G$6&gt;0),(1/(29.54+5.000663*($I$6*0.88)-0.007546*($I$6*0.88)^2)*1609.344/1440),"-")</f>
        <v>0.004592986449957078</v>
      </c>
      <c r="M6" s="639">
        <f>+L6*0.621371192</f>
        <v>0.002853949465249678</v>
      </c>
      <c r="N6" s="640" t="s">
        <v>311</v>
      </c>
      <c r="O6" s="641" t="str">
        <f>IF($E$3&gt;0,TEXT(0.88*E3,"0")&amp;" - "&amp;TEXT(0.92*E3,"0"),"")</f>
        <v>150 - 156</v>
      </c>
      <c r="P6" s="243"/>
      <c r="Q6" s="642" t="b">
        <v>1</v>
      </c>
      <c r="R6" s="643" t="b">
        <v>1</v>
      </c>
    </row>
    <row r="7" spans="1:18" ht="13.5" customHeight="1" thickBot="1" thickTop="1">
      <c r="A7" s="45"/>
      <c r="B7" s="256"/>
      <c r="C7" s="257" t="s">
        <v>78</v>
      </c>
      <c r="D7" s="244" t="s">
        <v>4</v>
      </c>
      <c r="E7" s="731" t="s">
        <v>5</v>
      </c>
      <c r="F7" s="732"/>
      <c r="G7" s="733"/>
      <c r="H7" s="245" t="s">
        <v>41</v>
      </c>
      <c r="I7" s="246" t="s">
        <v>32</v>
      </c>
      <c r="J7" s="247" t="s">
        <v>2</v>
      </c>
      <c r="K7" s="248" t="s">
        <v>6</v>
      </c>
      <c r="L7" s="248" t="s">
        <v>7</v>
      </c>
      <c r="M7" s="248" t="s">
        <v>8</v>
      </c>
      <c r="N7" s="248" t="s">
        <v>9</v>
      </c>
      <c r="O7" s="248" t="s">
        <v>10</v>
      </c>
      <c r="P7" s="248" t="s">
        <v>11</v>
      </c>
      <c r="Q7" s="249" t="s">
        <v>12</v>
      </c>
      <c r="R7" s="250" t="s">
        <v>1</v>
      </c>
    </row>
    <row r="8" spans="1:18" ht="13.5" customHeight="1">
      <c r="A8" s="45"/>
      <c r="B8" s="770" t="s">
        <v>313</v>
      </c>
      <c r="C8" s="771"/>
      <c r="D8" s="737">
        <f>IF(E6="Marathon",J8,IF(E6="1/2 Mar",K8,IF(E6="15 km",L8,IF(E6="12 km",M8,IF(E6="10 km",N8,IF(E6="8 km",O8,IF(E6="5 km",P8,0)))))))</f>
        <v>13.109375</v>
      </c>
      <c r="E8" s="738"/>
      <c r="F8" s="727">
        <f>IF(E6="Marathon",J9,IF(E6="1/2 Mar",K9,IF(E6="15 km",L9,IF(E6="12 km",M9,IF(E6="10 km",N9,IF(E6="8 km",O9,IF(E6="5 km",P9,0)))))))</f>
        <v>21097.494000000002</v>
      </c>
      <c r="G8" s="728"/>
      <c r="H8" s="758" t="s">
        <v>62</v>
      </c>
      <c r="I8" s="759"/>
      <c r="J8" s="290">
        <v>26.21875</v>
      </c>
      <c r="K8" s="291">
        <v>13.109375</v>
      </c>
      <c r="L8" s="291">
        <v>9.32057</v>
      </c>
      <c r="M8" s="291">
        <v>7.456455</v>
      </c>
      <c r="N8" s="291">
        <v>6.21371</v>
      </c>
      <c r="O8" s="291">
        <v>4.97096954</v>
      </c>
      <c r="P8" s="291">
        <v>3.10685596</v>
      </c>
      <c r="Q8" s="292">
        <v>1.86411358</v>
      </c>
      <c r="R8" s="293">
        <v>1</v>
      </c>
    </row>
    <row r="9" spans="1:18" ht="13.5" customHeight="1" thickBot="1">
      <c r="A9" s="45"/>
      <c r="B9" s="792" t="s">
        <v>315</v>
      </c>
      <c r="C9" s="793"/>
      <c r="D9" s="789">
        <f>IF($G$6&gt;0,0.8+0.1894393*EXP(-0.012778*G6*1440)+0.2989558*EXP(-0.1932605*G6*1440),0)</f>
        <v>0.8614432562012427</v>
      </c>
      <c r="E9" s="790"/>
      <c r="F9" s="328"/>
      <c r="G9" s="329"/>
      <c r="H9" s="775" t="s">
        <v>207</v>
      </c>
      <c r="I9" s="776"/>
      <c r="J9" s="330">
        <f aca="true" t="shared" si="0" ref="J9:R9">+J8*1609.344</f>
        <v>42194.988000000005</v>
      </c>
      <c r="K9" s="331">
        <f t="shared" si="0"/>
        <v>21097.494000000002</v>
      </c>
      <c r="L9" s="331">
        <f t="shared" si="0"/>
        <v>15000.00340608</v>
      </c>
      <c r="M9" s="331">
        <f t="shared" si="0"/>
        <v>12000.00111552</v>
      </c>
      <c r="N9" s="331">
        <f t="shared" si="0"/>
        <v>9999.99690624</v>
      </c>
      <c r="O9" s="331">
        <f t="shared" si="0"/>
        <v>8000.00000338176</v>
      </c>
      <c r="P9" s="331">
        <f t="shared" si="0"/>
        <v>4999.99999809024</v>
      </c>
      <c r="Q9" s="332">
        <f t="shared" si="0"/>
        <v>3000.00000529152</v>
      </c>
      <c r="R9" s="333">
        <f t="shared" si="0"/>
        <v>1609.344</v>
      </c>
    </row>
    <row r="10" spans="1:22" s="24" customFormat="1" ht="13.5" customHeight="1" thickBot="1">
      <c r="A10" s="47"/>
      <c r="B10" s="627" t="s">
        <v>314</v>
      </c>
      <c r="C10" s="661">
        <v>1</v>
      </c>
      <c r="D10" s="334"/>
      <c r="E10" s="335"/>
      <c r="F10" s="777" t="s">
        <v>229</v>
      </c>
      <c r="G10" s="777"/>
      <c r="H10" s="777"/>
      <c r="I10" s="778"/>
      <c r="J10" s="336">
        <f aca="true" t="shared" si="1" ref="J10:R10">IF($G$6&gt;0,0.8+0.1894393*EXP(-0.012778*J16*1440)+0.2989558*EXP(-0.1932605*J16*1440),0)</f>
        <v>0.8181111916714182</v>
      </c>
      <c r="K10" s="337">
        <f t="shared" si="1"/>
        <v>0.8614432562012427</v>
      </c>
      <c r="L10" s="337">
        <f t="shared" si="1"/>
        <v>0.886467917604872</v>
      </c>
      <c r="M10" s="337">
        <f t="shared" si="1"/>
        <v>0.9020241184444467</v>
      </c>
      <c r="N10" s="337">
        <f t="shared" si="1"/>
        <v>0.9138548688845327</v>
      </c>
      <c r="O10" s="337">
        <f t="shared" si="1"/>
        <v>0.9273029002788524</v>
      </c>
      <c r="P10" s="337">
        <f t="shared" si="1"/>
        <v>0.955687471864804</v>
      </c>
      <c r="Q10" s="337">
        <f t="shared" si="1"/>
        <v>1.0008992103854364</v>
      </c>
      <c r="R10" s="338">
        <f t="shared" si="1"/>
        <v>1.0804994947219277</v>
      </c>
      <c r="V10" s="455"/>
    </row>
    <row r="11" spans="1:32" s="49" customFormat="1" ht="13.5" customHeight="1">
      <c r="A11" s="48"/>
      <c r="B11" s="2"/>
      <c r="C11" s="44" t="s">
        <v>37</v>
      </c>
      <c r="D11" s="388">
        <v>0.65</v>
      </c>
      <c r="E11" s="388">
        <v>0.7</v>
      </c>
      <c r="F11" s="388">
        <v>0.73</v>
      </c>
      <c r="G11" s="388">
        <v>0.75</v>
      </c>
      <c r="H11" s="388">
        <f>G11+((J11-G11)*0.3333)</f>
        <v>0.7815731977181202</v>
      </c>
      <c r="I11" s="389">
        <f>G11+((J11-G11)*0.6667)</f>
        <v>0.8131558683428466</v>
      </c>
      <c r="J11" s="388">
        <f>MIN(1,IF($C$10=2,0.5+0.5*(J10-0.28)/0.72,IF($C$10=3,(0.6463*(J10*100)+37.182)/100,0.65+0.35*(J10-0.59)/0.41)))</f>
        <v>0.8447290660609668</v>
      </c>
      <c r="K11" s="388">
        <f aca="true" t="shared" si="2" ref="K11:R11">MIN(1,IF($C$10=2,0.5+0.5*(K10-0.28)/0.72,IF($C$10=3,(0.6463*(K10*100)+37.182)/100,0.65+0.35*(K10-0.59)/0.41)))</f>
        <v>0.8817198528547194</v>
      </c>
      <c r="L11" s="388">
        <f t="shared" si="2"/>
        <v>0.9030823686870859</v>
      </c>
      <c r="M11" s="388">
        <f t="shared" si="2"/>
        <v>0.9163620523306253</v>
      </c>
      <c r="N11" s="388">
        <f t="shared" si="2"/>
        <v>0.9264614734380158</v>
      </c>
      <c r="O11" s="388">
        <f t="shared" si="2"/>
        <v>0.9379415002380448</v>
      </c>
      <c r="P11" s="388">
        <f t="shared" si="2"/>
        <v>0.9621722320797108</v>
      </c>
      <c r="Q11" s="388">
        <f t="shared" si="2"/>
        <v>1</v>
      </c>
      <c r="R11" s="634">
        <f t="shared" si="2"/>
        <v>1</v>
      </c>
      <c r="S11" s="466"/>
      <c r="T11" s="49" t="s">
        <v>294</v>
      </c>
      <c r="U11" s="621"/>
      <c r="V11" s="619"/>
      <c r="W11" s="620"/>
      <c r="AF11" s="632"/>
    </row>
    <row r="12" spans="1:22" s="49" customFormat="1" ht="13.5" customHeight="1">
      <c r="A12" s="48"/>
      <c r="B12" s="1"/>
      <c r="C12" s="403" t="s">
        <v>241</v>
      </c>
      <c r="D12" s="394">
        <f>IF(AND($E$3&gt;0,$E$4&gt;0),(D13-$E$4)/($E$3-$E$4),"-")</f>
        <v>0.5041666666666667</v>
      </c>
      <c r="E12" s="394">
        <f aca="true" t="shared" si="3" ref="E12:R12">IF(AND($E$3&gt;0,$E$4&gt;0),(E13-$E$4)/($E$3-$E$4),"-")</f>
        <v>0.5749999999999998</v>
      </c>
      <c r="F12" s="394">
        <f t="shared" si="3"/>
        <v>0.6174999999999999</v>
      </c>
      <c r="G12" s="394">
        <f t="shared" si="3"/>
        <v>0.6458333333333334</v>
      </c>
      <c r="H12" s="394">
        <f t="shared" si="3"/>
        <v>0.6905620301006702</v>
      </c>
      <c r="I12" s="395">
        <f t="shared" si="3"/>
        <v>0.7353041468190327</v>
      </c>
      <c r="J12" s="396">
        <f t="shared" si="3"/>
        <v>0.7800328435863695</v>
      </c>
      <c r="K12" s="394">
        <f t="shared" si="3"/>
        <v>0.8324364582108524</v>
      </c>
      <c r="L12" s="394">
        <f t="shared" si="3"/>
        <v>0.862700022306705</v>
      </c>
      <c r="M12" s="394">
        <f t="shared" si="3"/>
        <v>0.8815129074683857</v>
      </c>
      <c r="N12" s="394">
        <f t="shared" si="3"/>
        <v>0.8958204207038558</v>
      </c>
      <c r="O12" s="394">
        <f t="shared" si="3"/>
        <v>0.9120837920038968</v>
      </c>
      <c r="P12" s="394">
        <f t="shared" si="3"/>
        <v>0.9464106621129237</v>
      </c>
      <c r="Q12" s="394">
        <f t="shared" si="3"/>
        <v>1</v>
      </c>
      <c r="R12" s="397">
        <f t="shared" si="3"/>
        <v>1</v>
      </c>
      <c r="S12" s="466"/>
      <c r="T12" s="613"/>
      <c r="V12" s="455"/>
    </row>
    <row r="13" spans="1:22" s="49" customFormat="1" ht="13.5" customHeight="1" thickBot="1">
      <c r="A13" s="48"/>
      <c r="B13" s="3"/>
      <c r="C13" s="4" t="s">
        <v>36</v>
      </c>
      <c r="D13" s="390">
        <f aca="true" t="shared" si="4" ref="D13:R13">IF($E$3&gt;0,D11*$E$3,"-")</f>
        <v>110.5</v>
      </c>
      <c r="E13" s="390">
        <f t="shared" si="4"/>
        <v>118.99999999999999</v>
      </c>
      <c r="F13" s="390">
        <f t="shared" si="4"/>
        <v>124.1</v>
      </c>
      <c r="G13" s="390">
        <f t="shared" si="4"/>
        <v>127.5</v>
      </c>
      <c r="H13" s="390">
        <f t="shared" si="4"/>
        <v>132.86744361208042</v>
      </c>
      <c r="I13" s="391">
        <f t="shared" si="4"/>
        <v>138.23649761828392</v>
      </c>
      <c r="J13" s="392">
        <f t="shared" si="4"/>
        <v>143.60394123036434</v>
      </c>
      <c r="K13" s="390">
        <f t="shared" si="4"/>
        <v>149.8923749853023</v>
      </c>
      <c r="L13" s="390">
        <f t="shared" si="4"/>
        <v>153.5240026768046</v>
      </c>
      <c r="M13" s="390">
        <f t="shared" si="4"/>
        <v>155.7815488962063</v>
      </c>
      <c r="N13" s="390">
        <f t="shared" si="4"/>
        <v>157.4984504844627</v>
      </c>
      <c r="O13" s="390">
        <f t="shared" si="4"/>
        <v>159.45005504046762</v>
      </c>
      <c r="P13" s="390">
        <f t="shared" si="4"/>
        <v>163.56927945355085</v>
      </c>
      <c r="Q13" s="390">
        <f t="shared" si="4"/>
        <v>170</v>
      </c>
      <c r="R13" s="393">
        <f t="shared" si="4"/>
        <v>170</v>
      </c>
      <c r="S13" s="466"/>
      <c r="V13" s="455"/>
    </row>
    <row r="14" spans="1:32" s="49" customFormat="1" ht="13.5" customHeight="1">
      <c r="A14" s="48"/>
      <c r="B14" s="5"/>
      <c r="C14" s="4" t="s">
        <v>21</v>
      </c>
      <c r="D14" s="644">
        <f>IF(AND($E$6&gt;0,$G$6&gt;0),(1/(29.54+5.000663*($I$6*(0.59+0.41*(D11-0.65)/0.35))-0.007546*($I$6*(0.59+0.41*(D11-0.65)/0.35))^2)*1609.344/1440),"-")</f>
        <v>0.006335855516795013</v>
      </c>
      <c r="E14" s="646">
        <f>IF(AND($E$6&gt;0,$G$6&gt;0),(1/(29.54+5.000663*($I$6*(0.59+0.41*(E11-0.65)/0.35))-0.007546*($I$6*(0.59+0.41*(E11-0.65)/0.35))^2)*1609.344/1440),"-")</f>
        <v>0.005876215472510862</v>
      </c>
      <c r="F14" s="646">
        <f>IF(AND($E$6&gt;0,$G$6&gt;0),(1/(29.54+5.000663*($I$6*(0.59+0.41*(F11-0.65)/0.35))-0.007546*($I$6*(0.59+0.41*(F11-0.65)/0.35))^2)*1609.344/1440),"-")</f>
        <v>0.005633029364405435</v>
      </c>
      <c r="G14" s="646">
        <f>IF(AND($E$6&gt;0,$G$6&gt;0),(1/(29.54+5.000663*($I$6*(0.59+0.41*(G11-0.65)/0.35))-0.007546*($I$6*(0.59+0.41*(G11-0.65)/0.35))^2)*1609.344/1440),"-")</f>
        <v>0.00548254627736209</v>
      </c>
      <c r="H14" s="649">
        <f>IF(AND($E$6&gt;0,$G$6&gt;0),G14+((J14-G14)*0.3333),"-")</f>
        <v>0.00527706363796751</v>
      </c>
      <c r="I14" s="649">
        <f>IF(AND($E$6&gt;0,$G$6&gt;0),G14+((J14-G14)*0.6667),"-")</f>
        <v>0.005071519347616016</v>
      </c>
      <c r="J14" s="651">
        <f aca="true" t="shared" si="5" ref="J14:R14">IF(AND($E$6&gt;0,$G$6&gt;0),J16/J8,"-")</f>
        <v>0.004866036708221435</v>
      </c>
      <c r="K14" s="653">
        <f t="shared" si="5"/>
        <v>0.0046678144175164435</v>
      </c>
      <c r="L14" s="653">
        <f t="shared" si="5"/>
        <v>0.004573252813371533</v>
      </c>
      <c r="M14" s="653">
        <f t="shared" si="5"/>
        <v>0.004512431330580956</v>
      </c>
      <c r="N14" s="653">
        <f t="shared" si="5"/>
        <v>0.004463337427821583</v>
      </c>
      <c r="O14" s="655">
        <f t="shared" si="5"/>
        <v>0.004403977870150531</v>
      </c>
      <c r="P14" s="657">
        <f t="shared" si="5"/>
        <v>0.004281519526328615</v>
      </c>
      <c r="Q14" s="657">
        <f t="shared" si="5"/>
        <v>0.004072076309196882</v>
      </c>
      <c r="R14" s="659">
        <f t="shared" si="5"/>
        <v>0.0037993300458651048</v>
      </c>
      <c r="S14" s="466"/>
      <c r="T14" s="614"/>
      <c r="V14" s="455"/>
      <c r="AA14" s="23"/>
      <c r="AB14" s="23"/>
      <c r="AC14" s="23"/>
      <c r="AF14" s="632"/>
    </row>
    <row r="15" spans="1:27" ht="13.5" customHeight="1" thickBot="1">
      <c r="A15" s="45"/>
      <c r="B15" s="5"/>
      <c r="C15" s="4" t="s">
        <v>38</v>
      </c>
      <c r="D15" s="645">
        <f aca="true" t="shared" si="6" ref="D15:R15">IF(D14&lt;&gt;"-",D14*0.621371192,"-")</f>
        <v>0.003936918094810693</v>
      </c>
      <c r="E15" s="647">
        <f t="shared" si="6"/>
        <v>0.0036513110126029174</v>
      </c>
      <c r="F15" s="648">
        <f t="shared" si="6"/>
        <v>0.0035002021707316077</v>
      </c>
      <c r="G15" s="648">
        <f t="shared" si="6"/>
        <v>0.0034066963155596447</v>
      </c>
      <c r="H15" s="650">
        <f t="shared" si="6"/>
        <v>0.003279015322983728</v>
      </c>
      <c r="I15" s="650">
        <f t="shared" si="6"/>
        <v>0.0031512960222792263</v>
      </c>
      <c r="J15" s="652">
        <f t="shared" si="6"/>
        <v>0.0030236150297033096</v>
      </c>
      <c r="K15" s="654">
        <f t="shared" si="6"/>
        <v>0.0029004454086469784</v>
      </c>
      <c r="L15" s="654">
        <f t="shared" si="6"/>
        <v>0.0028416875519620233</v>
      </c>
      <c r="M15" s="654">
        <f t="shared" si="6"/>
        <v>0.0028038948347012347</v>
      </c>
      <c r="N15" s="654">
        <f t="shared" si="6"/>
        <v>0.0027733892978237112</v>
      </c>
      <c r="O15" s="656">
        <f t="shared" si="6"/>
        <v>0.002736504978717057</v>
      </c>
      <c r="P15" s="658">
        <f t="shared" si="6"/>
        <v>0.0026604128916460873</v>
      </c>
      <c r="Q15" s="658">
        <f t="shared" si="6"/>
        <v>0.002530270910160627</v>
      </c>
      <c r="R15" s="660">
        <f t="shared" si="6"/>
        <v>0.002360794239400615</v>
      </c>
      <c r="S15" s="470"/>
      <c r="T15" s="614"/>
      <c r="V15" s="452"/>
      <c r="W15" s="398"/>
      <c r="X15" s="398"/>
      <c r="AA15" s="452"/>
    </row>
    <row r="16" spans="1:32" ht="13.5" customHeight="1" thickBot="1">
      <c r="A16" s="45"/>
      <c r="B16" s="617"/>
      <c r="C16" s="618"/>
      <c r="D16" s="618"/>
      <c r="E16" s="618"/>
      <c r="F16" s="211" t="s">
        <v>168</v>
      </c>
      <c r="G16" s="211" t="s">
        <v>169</v>
      </c>
      <c r="H16" s="172"/>
      <c r="I16" s="173" t="s">
        <v>14</v>
      </c>
      <c r="J16" s="174">
        <f aca="true" t="shared" si="7" ref="J16:P16">IF(AND($E$6&gt;0,$G$6&gt;0),$G$6*(J8/$D$8)^1.06,"-")</f>
        <v>0.12758139994368076</v>
      </c>
      <c r="K16" s="175">
        <f t="shared" si="7"/>
        <v>0.06119212962962963</v>
      </c>
      <c r="L16" s="175">
        <f t="shared" si="7"/>
        <v>0.042625322974726314</v>
      </c>
      <c r="M16" s="175">
        <f t="shared" si="7"/>
        <v>0.03364674115706702</v>
      </c>
      <c r="N16" s="175">
        <f t="shared" si="7"/>
        <v>0.02773388440862925</v>
      </c>
      <c r="O16" s="175">
        <f t="shared" si="7"/>
        <v>0.021892039847352364</v>
      </c>
      <c r="P16" s="175">
        <f t="shared" si="7"/>
        <v>0.013302064458230435</v>
      </c>
      <c r="Q16" s="175">
        <f>IF(AND($E$6&gt;0,$G$6&gt;0),$G$6*(Q8/$D$8)^1.07,"-")</f>
        <v>0.007590812746770185</v>
      </c>
      <c r="R16" s="176">
        <f>IF(AND($E$6&gt;0,$G$6&gt;0),$G$6*(R8/$D$8)^1.08,"-")</f>
        <v>0.0037993300458651048</v>
      </c>
      <c r="S16" s="470"/>
      <c r="T16" s="454"/>
      <c r="AA16" s="452"/>
      <c r="AF16" s="633"/>
    </row>
    <row r="17" spans="1:22" ht="13.5" customHeight="1" thickBot="1" thickTop="1">
      <c r="A17" s="45"/>
      <c r="B17" s="791" t="s">
        <v>0</v>
      </c>
      <c r="C17" s="791"/>
      <c r="D17" s="791"/>
      <c r="E17" s="791"/>
      <c r="F17" s="791"/>
      <c r="G17" s="791"/>
      <c r="H17" s="791"/>
      <c r="I17" s="791"/>
      <c r="J17" s="791"/>
      <c r="K17" s="791"/>
      <c r="L17" s="791"/>
      <c r="M17" s="791"/>
      <c r="N17" s="791"/>
      <c r="O17" s="791"/>
      <c r="P17" s="791"/>
      <c r="Q17" s="791"/>
      <c r="R17" s="791"/>
      <c r="S17" s="470"/>
      <c r="T17" s="47"/>
      <c r="U17" s="630"/>
      <c r="V17" s="453"/>
    </row>
    <row r="18" spans="1:22" ht="13.5" customHeight="1" thickBot="1" thickTop="1">
      <c r="A18" s="45"/>
      <c r="B18" s="575"/>
      <c r="C18" s="576" t="s">
        <v>13</v>
      </c>
      <c r="D18" s="577">
        <f aca="true" t="shared" si="8" ref="D18:R18">LOOKUP(((0.182258*(1/(D14*1440)*1609.344)+(0.000104*(1/(D14*1440)*1609.344)^2)-4.6)/$I$6),$S$125:$S$204,$U$125:$U$204)</f>
        <v>0.1</v>
      </c>
      <c r="E18" s="580">
        <f t="shared" si="8"/>
        <v>0.175</v>
      </c>
      <c r="F18" s="581">
        <f t="shared" si="8"/>
        <v>0.233</v>
      </c>
      <c r="G18" s="582">
        <f t="shared" si="8"/>
        <v>0.26649999999999996</v>
      </c>
      <c r="H18" s="580">
        <f t="shared" si="8"/>
        <v>0.333</v>
      </c>
      <c r="I18" s="582">
        <f t="shared" si="8"/>
        <v>0.40449999999999997</v>
      </c>
      <c r="J18" s="578">
        <f t="shared" si="8"/>
        <v>0.5045</v>
      </c>
      <c r="K18" s="580">
        <f t="shared" si="8"/>
        <v>0.617</v>
      </c>
      <c r="L18" s="581">
        <f t="shared" si="8"/>
        <v>0.683</v>
      </c>
      <c r="M18" s="581">
        <f t="shared" si="8"/>
        <v>0.7030000000000001</v>
      </c>
      <c r="N18" s="582">
        <f t="shared" si="8"/>
        <v>0.763</v>
      </c>
      <c r="O18" s="577">
        <f t="shared" si="8"/>
        <v>0.8200000000000001</v>
      </c>
      <c r="P18" s="580">
        <f t="shared" si="8"/>
        <v>0.9</v>
      </c>
      <c r="Q18" s="582">
        <f t="shared" si="8"/>
        <v>1</v>
      </c>
      <c r="R18" s="579">
        <f t="shared" si="8"/>
        <v>1.5</v>
      </c>
      <c r="S18" s="470"/>
      <c r="T18" s="47"/>
      <c r="V18" s="453"/>
    </row>
    <row r="19" spans="1:22" ht="13.5" customHeight="1">
      <c r="A19" s="45"/>
      <c r="B19" s="10">
        <f>IF(AND($Q$6,$R$6),2,1)</f>
        <v>2</v>
      </c>
      <c r="C19" s="11" t="str">
        <f>IF($Q$6,"KM ","Mile ")</f>
        <v>KM </v>
      </c>
      <c r="D19" s="12">
        <f aca="true" t="shared" si="9" ref="D19:R22">IF(AND(D$18&lt;&gt;"-",AND(D$14&lt;&gt;"-",D$14&lt;&gt;0)),$B19*D$18*(IF($Q$6,D$15,D$14)*1440),"-")</f>
        <v>1.1338324113054798</v>
      </c>
      <c r="E19" s="567">
        <f t="shared" si="9"/>
        <v>1.8402607503518702</v>
      </c>
      <c r="F19" s="568">
        <f t="shared" si="9"/>
        <v>2.348775664647738</v>
      </c>
      <c r="G19" s="569">
        <f t="shared" si="9"/>
        <v>2.614707556118338</v>
      </c>
      <c r="H19" s="570">
        <f t="shared" si="9"/>
        <v>3.1447068553543147</v>
      </c>
      <c r="I19" s="571">
        <f t="shared" si="9"/>
        <v>3.671133814114407</v>
      </c>
      <c r="J19" s="572">
        <f t="shared" si="9"/>
        <v>4.39319169355772</v>
      </c>
      <c r="K19" s="583">
        <f t="shared" si="9"/>
        <v>5.153975473349335</v>
      </c>
      <c r="L19" s="584">
        <f t="shared" si="9"/>
        <v>5.589713082211379</v>
      </c>
      <c r="M19" s="584">
        <f t="shared" si="9"/>
        <v>5.6768776381295085</v>
      </c>
      <c r="N19" s="585">
        <f t="shared" si="9"/>
        <v>6.0943565786097365</v>
      </c>
      <c r="O19" s="573">
        <f t="shared" si="9"/>
        <v>6.462530157738202</v>
      </c>
      <c r="P19" s="603">
        <f t="shared" si="9"/>
        <v>6.895790215146658</v>
      </c>
      <c r="Q19" s="604">
        <f t="shared" si="9"/>
        <v>7.287180221262605</v>
      </c>
      <c r="R19" s="574">
        <f t="shared" si="9"/>
        <v>10.198631114210658</v>
      </c>
      <c r="S19" s="470"/>
      <c r="V19" s="453"/>
    </row>
    <row r="20" spans="1:27" ht="13.5" customHeight="1">
      <c r="A20" s="45"/>
      <c r="B20" s="10">
        <f>IF(AND($Q$6,$R$6),B19+2,B19+1)</f>
        <v>4</v>
      </c>
      <c r="C20" s="11" t="str">
        <f aca="true" t="shared" si="10" ref="C20:C44">IF($Q$6,"KM ","Miles ")</f>
        <v>KM </v>
      </c>
      <c r="D20" s="12">
        <f t="shared" si="9"/>
        <v>2.2676648226109597</v>
      </c>
      <c r="E20" s="13">
        <f t="shared" si="9"/>
        <v>3.6805215007037404</v>
      </c>
      <c r="F20" s="14">
        <f t="shared" si="9"/>
        <v>4.697551329295476</v>
      </c>
      <c r="G20" s="43">
        <f t="shared" si="9"/>
        <v>5.229415112236676</v>
      </c>
      <c r="H20" s="37">
        <f t="shared" si="9"/>
        <v>6.289413710708629</v>
      </c>
      <c r="I20" s="38">
        <f t="shared" si="9"/>
        <v>7.342267628228814</v>
      </c>
      <c r="J20" s="26">
        <f t="shared" si="9"/>
        <v>8.78638338711544</v>
      </c>
      <c r="K20" s="586">
        <f t="shared" si="9"/>
        <v>10.30795094669867</v>
      </c>
      <c r="L20" s="587">
        <f t="shared" si="9"/>
        <v>11.179426164422757</v>
      </c>
      <c r="M20" s="587">
        <f t="shared" si="9"/>
        <v>11.353755276259017</v>
      </c>
      <c r="N20" s="588">
        <f t="shared" si="9"/>
        <v>12.188713157219473</v>
      </c>
      <c r="O20" s="29">
        <f t="shared" si="9"/>
        <v>12.925060315476404</v>
      </c>
      <c r="P20" s="605">
        <f t="shared" si="9"/>
        <v>13.791580430293315</v>
      </c>
      <c r="Q20" s="606">
        <f t="shared" si="9"/>
        <v>14.57436044252521</v>
      </c>
      <c r="R20" s="32">
        <f t="shared" si="9"/>
        <v>20.397262228421315</v>
      </c>
      <c r="S20" s="470"/>
      <c r="T20" s="468"/>
      <c r="U20" s="468"/>
      <c r="V20" s="468"/>
      <c r="W20" s="468"/>
      <c r="X20" s="468"/>
      <c r="Y20" s="469"/>
      <c r="Z20" s="469"/>
      <c r="AA20" s="453"/>
    </row>
    <row r="21" spans="1:26" ht="13.5" customHeight="1">
      <c r="A21" s="45"/>
      <c r="B21" s="10">
        <f aca="true" t="shared" si="11" ref="B21:B44">IF(AND($Q$6,$R$6),B20+2,B20+1)</f>
        <v>6</v>
      </c>
      <c r="C21" s="11" t="str">
        <f t="shared" si="10"/>
        <v>KM </v>
      </c>
      <c r="D21" s="12">
        <f t="shared" si="9"/>
        <v>3.40149723391644</v>
      </c>
      <c r="E21" s="13">
        <f t="shared" si="9"/>
        <v>5.52078225105561</v>
      </c>
      <c r="F21" s="14">
        <f t="shared" si="9"/>
        <v>7.0463269939432145</v>
      </c>
      <c r="G21" s="43">
        <f t="shared" si="9"/>
        <v>7.8441226683550145</v>
      </c>
      <c r="H21" s="37">
        <f t="shared" si="9"/>
        <v>9.434120566062944</v>
      </c>
      <c r="I21" s="38">
        <f t="shared" si="9"/>
        <v>11.013401442343222</v>
      </c>
      <c r="J21" s="26">
        <f t="shared" si="9"/>
        <v>13.17957508067316</v>
      </c>
      <c r="K21" s="586">
        <f t="shared" si="9"/>
        <v>15.461926420048004</v>
      </c>
      <c r="L21" s="587">
        <f t="shared" si="9"/>
        <v>16.769139246634136</v>
      </c>
      <c r="M21" s="587">
        <f t="shared" si="9"/>
        <v>17.030632914388523</v>
      </c>
      <c r="N21" s="588">
        <f t="shared" si="9"/>
        <v>18.28306973582921</v>
      </c>
      <c r="O21" s="29">
        <f t="shared" si="9"/>
        <v>19.387590473214605</v>
      </c>
      <c r="P21" s="605">
        <f t="shared" si="9"/>
        <v>20.687370645439977</v>
      </c>
      <c r="Q21" s="606">
        <f t="shared" si="9"/>
        <v>21.861540663787814</v>
      </c>
      <c r="R21" s="32">
        <f t="shared" si="9"/>
        <v>30.59589334263197</v>
      </c>
      <c r="S21" s="470"/>
      <c r="T21" s="468"/>
      <c r="U21" s="474"/>
      <c r="V21" s="474"/>
      <c r="W21" s="474"/>
      <c r="X21" s="474"/>
      <c r="Y21" s="474"/>
      <c r="Z21" s="469"/>
    </row>
    <row r="22" spans="1:26" ht="13.5" customHeight="1">
      <c r="A22" s="45"/>
      <c r="B22" s="10">
        <f t="shared" si="11"/>
        <v>8</v>
      </c>
      <c r="C22" s="11" t="str">
        <f t="shared" si="10"/>
        <v>KM </v>
      </c>
      <c r="D22" s="12">
        <f t="shared" si="9"/>
        <v>4.535329645221919</v>
      </c>
      <c r="E22" s="13">
        <f t="shared" si="9"/>
        <v>7.361043001407481</v>
      </c>
      <c r="F22" s="14">
        <f t="shared" si="9"/>
        <v>9.395102658590952</v>
      </c>
      <c r="G22" s="43">
        <f t="shared" si="9"/>
        <v>10.458830224473353</v>
      </c>
      <c r="H22" s="37">
        <f t="shared" si="9"/>
        <v>12.578827421417259</v>
      </c>
      <c r="I22" s="38">
        <f t="shared" si="9"/>
        <v>14.684535256457629</v>
      </c>
      <c r="J22" s="26">
        <f t="shared" si="9"/>
        <v>17.57276677423088</v>
      </c>
      <c r="K22" s="586">
        <f t="shared" si="9"/>
        <v>20.61590189339734</v>
      </c>
      <c r="L22" s="587">
        <f t="shared" si="9"/>
        <v>22.358852328845515</v>
      </c>
      <c r="M22" s="587">
        <f t="shared" si="9"/>
        <v>22.707510552518034</v>
      </c>
      <c r="N22" s="588">
        <f t="shared" si="9"/>
        <v>24.377426314438946</v>
      </c>
      <c r="O22" s="29">
        <f t="shared" si="9"/>
        <v>25.85012063095281</v>
      </c>
      <c r="P22" s="605">
        <f t="shared" si="9"/>
        <v>27.58316086058663</v>
      </c>
      <c r="Q22" s="606">
        <f t="shared" si="9"/>
        <v>29.14872088505042</v>
      </c>
      <c r="R22" s="32">
        <f t="shared" si="9"/>
        <v>40.79452445684263</v>
      </c>
      <c r="S22" s="470"/>
      <c r="T22" s="468"/>
      <c r="U22" s="465"/>
      <c r="V22" s="465"/>
      <c r="W22" s="465"/>
      <c r="X22" s="465"/>
      <c r="Y22" s="465"/>
      <c r="Z22" s="469"/>
    </row>
    <row r="23" spans="1:26" ht="13.5" customHeight="1" thickBot="1">
      <c r="A23" s="45"/>
      <c r="B23" s="15">
        <f t="shared" si="11"/>
        <v>10</v>
      </c>
      <c r="C23" s="16" t="str">
        <f t="shared" si="10"/>
        <v>KM </v>
      </c>
      <c r="D23" s="17">
        <f aca="true" t="shared" si="12" ref="D23:Q23">IF(AND(D$18&lt;&gt;"-",AND(D$14&lt;&gt;"-",D$14&lt;&gt;0)),$B23*D$18*(IF($Q$6,D$15,D$14)*1440),"-")</f>
        <v>5.669162056527399</v>
      </c>
      <c r="E23" s="18">
        <f t="shared" si="12"/>
        <v>9.201303751759351</v>
      </c>
      <c r="F23" s="19">
        <f t="shared" si="12"/>
        <v>11.74387832323869</v>
      </c>
      <c r="G23" s="42">
        <f t="shared" si="12"/>
        <v>13.07353778059169</v>
      </c>
      <c r="H23" s="39">
        <f t="shared" si="12"/>
        <v>15.723534276771574</v>
      </c>
      <c r="I23" s="40">
        <f t="shared" si="12"/>
        <v>18.355669070572038</v>
      </c>
      <c r="J23" s="27">
        <f t="shared" si="12"/>
        <v>21.965958467788603</v>
      </c>
      <c r="K23" s="589">
        <f t="shared" si="12"/>
        <v>25.769877366746673</v>
      </c>
      <c r="L23" s="590">
        <f t="shared" si="12"/>
        <v>27.94856541105689</v>
      </c>
      <c r="M23" s="590">
        <f t="shared" si="12"/>
        <v>28.38438819064754</v>
      </c>
      <c r="N23" s="591">
        <f t="shared" si="12"/>
        <v>30.47178289304868</v>
      </c>
      <c r="O23" s="30">
        <f t="shared" si="12"/>
        <v>32.31265078869101</v>
      </c>
      <c r="P23" s="607">
        <f t="shared" si="12"/>
        <v>34.47895107573329</v>
      </c>
      <c r="Q23" s="606">
        <f t="shared" si="12"/>
        <v>36.435901106313025</v>
      </c>
      <c r="R23" s="33" t="s">
        <v>3</v>
      </c>
      <c r="S23" s="470"/>
      <c r="T23" s="468"/>
      <c r="U23" s="475"/>
      <c r="V23" s="476"/>
      <c r="W23" s="477"/>
      <c r="X23" s="478"/>
      <c r="Y23" s="465"/>
      <c r="Z23" s="469"/>
    </row>
    <row r="24" spans="1:26" ht="13.5" customHeight="1">
      <c r="A24" s="45"/>
      <c r="B24" s="6">
        <f t="shared" si="11"/>
        <v>12</v>
      </c>
      <c r="C24" s="20" t="str">
        <f t="shared" si="10"/>
        <v>KM </v>
      </c>
      <c r="D24" s="7">
        <f aca="true" t="shared" si="13" ref="D24:O24">IF(AND(D$18&lt;&gt;"-",AND(D$14&lt;&gt;"-",D$14&lt;&gt;0)),$B24*D$18*(IF($Q$6,D$15,D$14)*1440),"-")</f>
        <v>6.80299446783288</v>
      </c>
      <c r="E24" s="8">
        <f t="shared" si="13"/>
        <v>11.04156450211122</v>
      </c>
      <c r="F24" s="9">
        <f t="shared" si="13"/>
        <v>14.092653987886429</v>
      </c>
      <c r="G24" s="41">
        <f t="shared" si="13"/>
        <v>15.688245336710029</v>
      </c>
      <c r="H24" s="35">
        <f t="shared" si="13"/>
        <v>18.86824113212589</v>
      </c>
      <c r="I24" s="36">
        <f t="shared" si="13"/>
        <v>22.026802884686443</v>
      </c>
      <c r="J24" s="28">
        <f t="shared" si="13"/>
        <v>26.35915016134632</v>
      </c>
      <c r="K24" s="592">
        <f t="shared" si="13"/>
        <v>30.923852840096007</v>
      </c>
      <c r="L24" s="593">
        <f t="shared" si="13"/>
        <v>33.53827849326827</v>
      </c>
      <c r="M24" s="593">
        <f t="shared" si="13"/>
        <v>34.061265828777046</v>
      </c>
      <c r="N24" s="594">
        <f t="shared" si="13"/>
        <v>36.56613947165842</v>
      </c>
      <c r="O24" s="31">
        <f t="shared" si="13"/>
        <v>38.77518094642921</v>
      </c>
      <c r="P24" s="608" t="s">
        <v>3</v>
      </c>
      <c r="Q24" s="609" t="s">
        <v>3</v>
      </c>
      <c r="R24" s="34" t="s">
        <v>3</v>
      </c>
      <c r="S24" s="470"/>
      <c r="T24" s="468"/>
      <c r="U24" s="469"/>
      <c r="V24" s="479"/>
      <c r="W24" s="469"/>
      <c r="X24" s="469"/>
      <c r="Y24" s="469"/>
      <c r="Z24" s="469"/>
    </row>
    <row r="25" spans="1:24" ht="13.5" customHeight="1">
      <c r="A25" s="45"/>
      <c r="B25" s="10">
        <f t="shared" si="11"/>
        <v>14</v>
      </c>
      <c r="C25" s="11" t="str">
        <f t="shared" si="10"/>
        <v>KM </v>
      </c>
      <c r="D25" s="21">
        <f aca="true" t="shared" si="14" ref="D25:N25">IF(AND(D$18&lt;&gt;"-",AND(D$14&lt;&gt;"-",D$14&lt;&gt;0)),$B25*D$18*(IF($Q$6,D$15,D$14)*1440),"-")</f>
        <v>7.936826879138359</v>
      </c>
      <c r="E25" s="13">
        <f t="shared" si="14"/>
        <v>12.88182525246309</v>
      </c>
      <c r="F25" s="14">
        <f t="shared" si="14"/>
        <v>16.441429652534165</v>
      </c>
      <c r="G25" s="43">
        <f t="shared" si="14"/>
        <v>18.30295289282837</v>
      </c>
      <c r="H25" s="37">
        <f t="shared" si="14"/>
        <v>22.0129479874802</v>
      </c>
      <c r="I25" s="38">
        <f t="shared" si="14"/>
        <v>25.69793669880085</v>
      </c>
      <c r="J25" s="26">
        <f t="shared" si="14"/>
        <v>30.75234185490404</v>
      </c>
      <c r="K25" s="586">
        <f t="shared" si="14"/>
        <v>36.07782831344534</v>
      </c>
      <c r="L25" s="587">
        <f t="shared" si="14"/>
        <v>39.12799157547965</v>
      </c>
      <c r="M25" s="587">
        <f t="shared" si="14"/>
        <v>39.73814346690656</v>
      </c>
      <c r="N25" s="588">
        <f t="shared" si="14"/>
        <v>42.66049605026815</v>
      </c>
      <c r="O25" s="29" t="s">
        <v>3</v>
      </c>
      <c r="P25" s="605" t="s">
        <v>3</v>
      </c>
      <c r="Q25" s="610" t="s">
        <v>3</v>
      </c>
      <c r="R25" s="32" t="s">
        <v>3</v>
      </c>
      <c r="W25" s="480"/>
      <c r="X25" s="467"/>
    </row>
    <row r="26" spans="1:25" ht="13.5" customHeight="1" thickBot="1">
      <c r="A26" s="45"/>
      <c r="B26" s="10">
        <f t="shared" si="11"/>
        <v>16</v>
      </c>
      <c r="C26" s="11" t="str">
        <f t="shared" si="10"/>
        <v>KM </v>
      </c>
      <c r="D26" s="21">
        <f aca="true" t="shared" si="15" ref="D26:M26">IF(AND(D$18&lt;&gt;"-",AND(D$14&lt;&gt;"-",D$14&lt;&gt;0)),$B26*D$18*(IF($Q$6,D$15,D$14)*1440),"-")</f>
        <v>9.070659290443839</v>
      </c>
      <c r="E26" s="13">
        <f t="shared" si="15"/>
        <v>14.722086002814962</v>
      </c>
      <c r="F26" s="14">
        <f t="shared" si="15"/>
        <v>18.790205317181904</v>
      </c>
      <c r="G26" s="43">
        <f t="shared" si="15"/>
        <v>20.917660448946705</v>
      </c>
      <c r="H26" s="37">
        <f t="shared" si="15"/>
        <v>25.157654842834518</v>
      </c>
      <c r="I26" s="38">
        <f t="shared" si="15"/>
        <v>29.369070512915258</v>
      </c>
      <c r="J26" s="26">
        <f t="shared" si="15"/>
        <v>35.14553354846176</v>
      </c>
      <c r="K26" s="586">
        <f t="shared" si="15"/>
        <v>41.23180378679468</v>
      </c>
      <c r="L26" s="587">
        <f t="shared" si="15"/>
        <v>44.71770465769103</v>
      </c>
      <c r="M26" s="595">
        <f t="shared" si="15"/>
        <v>45.41502110503607</v>
      </c>
      <c r="N26" s="596" t="s">
        <v>3</v>
      </c>
      <c r="O26" s="457" t="s">
        <v>3</v>
      </c>
      <c r="P26" s="611" t="s">
        <v>3</v>
      </c>
      <c r="Q26" s="612" t="s">
        <v>3</v>
      </c>
      <c r="R26" s="458" t="s">
        <v>3</v>
      </c>
      <c r="W26" s="468"/>
      <c r="X26" s="469"/>
      <c r="Y26" s="50"/>
    </row>
    <row r="27" spans="1:24" ht="13.5" customHeight="1" thickBot="1" thickTop="1">
      <c r="A27" s="45"/>
      <c r="B27" s="10">
        <f t="shared" si="11"/>
        <v>18</v>
      </c>
      <c r="C27" s="11" t="str">
        <f t="shared" si="10"/>
        <v>KM </v>
      </c>
      <c r="D27" s="21">
        <f aca="true" t="shared" si="16" ref="D27:L28">IF(AND(D$18&lt;&gt;"-",AND(D$14&lt;&gt;"-",D$14&lt;&gt;0)),$B27*D$18*(IF($Q$6,D$15,D$14)*1440),"-")</f>
        <v>10.204491701749317</v>
      </c>
      <c r="E27" s="13">
        <f t="shared" si="16"/>
        <v>16.562346753166832</v>
      </c>
      <c r="F27" s="14">
        <f t="shared" si="16"/>
        <v>21.138980981829643</v>
      </c>
      <c r="G27" s="43">
        <f t="shared" si="16"/>
        <v>23.53236800506504</v>
      </c>
      <c r="H27" s="37">
        <f t="shared" si="16"/>
        <v>28.302361698188832</v>
      </c>
      <c r="I27" s="38">
        <f t="shared" si="16"/>
        <v>33.04020432702966</v>
      </c>
      <c r="J27" s="26">
        <f t="shared" si="16"/>
        <v>39.53872524201948</v>
      </c>
      <c r="K27" s="586">
        <f t="shared" si="16"/>
        <v>46.38577926014401</v>
      </c>
      <c r="L27" s="588">
        <f t="shared" si="16"/>
        <v>50.307417739902405</v>
      </c>
      <c r="M27" s="744" t="s">
        <v>272</v>
      </c>
      <c r="N27" s="745"/>
      <c r="O27" s="745"/>
      <c r="P27" s="745"/>
      <c r="Q27" s="745"/>
      <c r="R27" s="558"/>
      <c r="W27" s="470"/>
      <c r="X27" s="467"/>
    </row>
    <row r="28" spans="1:25" ht="13.5" customHeight="1" thickBot="1" thickTop="1">
      <c r="A28" s="45"/>
      <c r="B28" s="15">
        <f t="shared" si="11"/>
        <v>20</v>
      </c>
      <c r="C28" s="16" t="str">
        <f t="shared" si="10"/>
        <v>KM </v>
      </c>
      <c r="D28" s="22">
        <f t="shared" si="16"/>
        <v>11.338324113054798</v>
      </c>
      <c r="E28" s="18">
        <f t="shared" si="16"/>
        <v>18.402607503518702</v>
      </c>
      <c r="F28" s="19">
        <f t="shared" si="16"/>
        <v>23.48775664647738</v>
      </c>
      <c r="G28" s="42">
        <f t="shared" si="16"/>
        <v>26.14707556118338</v>
      </c>
      <c r="H28" s="39">
        <f t="shared" si="16"/>
        <v>31.447068553543147</v>
      </c>
      <c r="I28" s="40">
        <f t="shared" si="16"/>
        <v>36.711338141144076</v>
      </c>
      <c r="J28" s="27">
        <f t="shared" si="16"/>
        <v>43.931916935577206</v>
      </c>
      <c r="K28" s="589">
        <f t="shared" si="16"/>
        <v>51.539754733493346</v>
      </c>
      <c r="L28" s="597">
        <f t="shared" si="16"/>
        <v>55.89713082211378</v>
      </c>
      <c r="M28" s="553" t="s">
        <v>298</v>
      </c>
      <c r="N28" s="554"/>
      <c r="O28" s="554" t="s">
        <v>296</v>
      </c>
      <c r="P28" s="554"/>
      <c r="Q28" s="554"/>
      <c r="R28" s="557" t="s">
        <v>295</v>
      </c>
      <c r="S28" s="484"/>
      <c r="T28" s="615"/>
      <c r="U28" s="483" t="s">
        <v>277</v>
      </c>
      <c r="V28" s="482"/>
      <c r="W28" s="482"/>
      <c r="X28" s="470"/>
      <c r="Y28" s="467"/>
    </row>
    <row r="29" spans="1:25" ht="13.5" customHeight="1" thickBot="1">
      <c r="A29" s="45"/>
      <c r="B29" s="6">
        <f t="shared" si="11"/>
        <v>22</v>
      </c>
      <c r="C29" s="20" t="str">
        <f t="shared" si="10"/>
        <v>KM </v>
      </c>
      <c r="D29" s="7">
        <f aca="true" t="shared" si="17" ref="D29:K31">IF(AND(D$18&lt;&gt;"-",AND(D$14&lt;&gt;"-",D$14&lt;&gt;0)),$B29*D$18*(IF($Q$6,D$15,D$14)*1440),"-")</f>
        <v>12.472156524360278</v>
      </c>
      <c r="E29" s="8">
        <f t="shared" si="17"/>
        <v>20.242868253870572</v>
      </c>
      <c r="F29" s="9">
        <f t="shared" si="17"/>
        <v>25.83653231112512</v>
      </c>
      <c r="G29" s="41">
        <f t="shared" si="17"/>
        <v>28.76178311730172</v>
      </c>
      <c r="H29" s="35">
        <f t="shared" si="17"/>
        <v>34.59177540889746</v>
      </c>
      <c r="I29" s="36">
        <f t="shared" si="17"/>
        <v>40.38247195525848</v>
      </c>
      <c r="J29" s="28">
        <f t="shared" si="17"/>
        <v>48.32510862913492</v>
      </c>
      <c r="K29" s="592">
        <f t="shared" si="17"/>
        <v>56.69373020684268</v>
      </c>
      <c r="L29" s="598" t="s">
        <v>3</v>
      </c>
      <c r="M29" s="555" t="s">
        <v>299</v>
      </c>
      <c r="N29" s="556"/>
      <c r="O29" s="556" t="s">
        <v>297</v>
      </c>
      <c r="P29" s="556"/>
      <c r="Q29" s="556"/>
      <c r="R29" s="563">
        <v>1</v>
      </c>
      <c r="S29" s="484"/>
      <c r="T29" s="486" t="s">
        <v>47</v>
      </c>
      <c r="U29" s="487" t="s">
        <v>47</v>
      </c>
      <c r="V29" s="488" t="s">
        <v>46</v>
      </c>
      <c r="W29" s="489" t="s">
        <v>47</v>
      </c>
      <c r="X29" s="470"/>
      <c r="Y29" s="467"/>
    </row>
    <row r="30" spans="1:25" ht="13.5" customHeight="1" thickBot="1">
      <c r="A30" s="45"/>
      <c r="B30" s="10">
        <f t="shared" si="11"/>
        <v>24</v>
      </c>
      <c r="C30" s="11" t="str">
        <f t="shared" si="10"/>
        <v>KM </v>
      </c>
      <c r="D30" s="21">
        <f t="shared" si="17"/>
        <v>13.60598893566576</v>
      </c>
      <c r="E30" s="13">
        <f t="shared" si="17"/>
        <v>22.08312900422244</v>
      </c>
      <c r="F30" s="14">
        <f t="shared" si="17"/>
        <v>28.185307975772858</v>
      </c>
      <c r="G30" s="43">
        <f t="shared" si="17"/>
        <v>31.376490673420058</v>
      </c>
      <c r="H30" s="37">
        <f t="shared" si="17"/>
        <v>37.73648226425178</v>
      </c>
      <c r="I30" s="38">
        <f t="shared" si="17"/>
        <v>44.053605769372886</v>
      </c>
      <c r="J30" s="26">
        <f t="shared" si="17"/>
        <v>52.71830032269264</v>
      </c>
      <c r="K30" s="586">
        <f t="shared" si="17"/>
        <v>61.847705680192014</v>
      </c>
      <c r="L30" s="599" t="s">
        <v>3</v>
      </c>
      <c r="M30" s="459" t="s">
        <v>275</v>
      </c>
      <c r="N30" s="460" t="str">
        <f>IF($Q$6,"KM","Miles")</f>
        <v>KM</v>
      </c>
      <c r="O30" s="460" t="s">
        <v>48</v>
      </c>
      <c r="P30" s="462" t="s">
        <v>274</v>
      </c>
      <c r="Q30" s="463" t="s">
        <v>273</v>
      </c>
      <c r="R30" s="461" t="s">
        <v>80</v>
      </c>
      <c r="S30" s="464"/>
      <c r="T30" s="490" t="s">
        <v>46</v>
      </c>
      <c r="U30" s="481" t="s">
        <v>48</v>
      </c>
      <c r="V30" s="481" t="s">
        <v>48</v>
      </c>
      <c r="W30" s="491" t="s">
        <v>276</v>
      </c>
      <c r="X30" s="473"/>
      <c r="Y30" s="467"/>
    </row>
    <row r="31" spans="1:25" ht="13.5" customHeight="1">
      <c r="A31" s="45"/>
      <c r="B31" s="10">
        <f t="shared" si="11"/>
        <v>26</v>
      </c>
      <c r="C31" s="11" t="str">
        <f t="shared" si="10"/>
        <v>KM </v>
      </c>
      <c r="D31" s="21">
        <f t="shared" si="17"/>
        <v>14.739821346971237</v>
      </c>
      <c r="E31" s="13">
        <f t="shared" si="17"/>
        <v>23.923389754574313</v>
      </c>
      <c r="F31" s="14">
        <f t="shared" si="17"/>
        <v>30.534083640420597</v>
      </c>
      <c r="G31" s="43">
        <f t="shared" si="17"/>
        <v>33.9911982295384</v>
      </c>
      <c r="H31" s="37">
        <f t="shared" si="17"/>
        <v>40.88118911960609</v>
      </c>
      <c r="I31" s="38">
        <f t="shared" si="17"/>
        <v>47.72473958348729</v>
      </c>
      <c r="J31" s="26">
        <f t="shared" si="17"/>
        <v>57.11149201625036</v>
      </c>
      <c r="K31" s="586">
        <f t="shared" si="17"/>
        <v>67.00168115354136</v>
      </c>
      <c r="L31" s="599" t="s">
        <v>3</v>
      </c>
      <c r="M31" s="500">
        <v>0.06119212962962963</v>
      </c>
      <c r="N31" s="622">
        <v>21.097</v>
      </c>
      <c r="O31" s="515"/>
      <c r="P31" s="501"/>
      <c r="Q31" s="498">
        <f>IF($R$29=1,IF(ISNA(T31),"too slow",T31),IF($R$29=2,IF(ISNA(U31),"too slow",U31),IF($R$29=3,IF(ISNA(V31),"too slow",V31),W31)))</f>
        <v>0.617</v>
      </c>
      <c r="R31" s="517">
        <f>IF(Q31="Too Slow","",IF($R$29=3,O31*N31*24*Q31,M31*1440*Q31))</f>
        <v>54.367983333333335</v>
      </c>
      <c r="S31" s="485"/>
      <c r="T31" s="492">
        <f aca="true" t="shared" si="18" ref="T31:T40">IF(M31*N31,LOOKUP(((0.182258*(1/((M31/N31)*1440)*IF($Q$6,1000,1609.344))+(0.000104*(1/((M31/N31)*1440)*IF($Q$6,1000,1609.344))^2)-4.6)/$I$6),$S$125:$S$204,$U$125:$U$204),0)</f>
        <v>0.617</v>
      </c>
      <c r="U31" s="492">
        <f aca="true" t="shared" si="19" ref="U31:U40">IF(M31*O31,LOOKUP(((0.182258*(1/(O31*24)*IF($Q$6,1000,1609.344))+(0.000104*(1/(O31*24)*IF($Q$6,1000,1609.344))^2)-4.6)/$I$6),$S$125:$S$204,$U$125:$U$204),0)</f>
        <v>0</v>
      </c>
      <c r="V31" s="492">
        <f aca="true" t="shared" si="20" ref="V31:V40">IF(N31*O31,LOOKUP(((0.182258*(1/(O31*24)*IF($Q$6,1000,1609.344))+(0.000104*(1/(O31*24)*IF($Q$6,1000,1609.344))^2)-4.6)/$I$6),$S$125:$S$204,$U$125:$U$204),0)</f>
        <v>0</v>
      </c>
      <c r="W31" s="493">
        <f>IF(M31*P31,LOOKUP(MAX(P31/$E$3,0.56),$T$125:$T$204,$U$125:$U$204),0)</f>
        <v>0</v>
      </c>
      <c r="X31" s="472"/>
      <c r="Y31" s="467"/>
    </row>
    <row r="32" spans="1:26" ht="13.5" customHeight="1">
      <c r="A32" s="45"/>
      <c r="B32" s="10">
        <f t="shared" si="11"/>
        <v>28</v>
      </c>
      <c r="C32" s="11" t="str">
        <f t="shared" si="10"/>
        <v>KM </v>
      </c>
      <c r="D32" s="21">
        <f aca="true" t="shared" si="21" ref="D32:J44">IF(AND(D$18&lt;&gt;"-",AND(D$14&lt;&gt;"-",D$14&lt;&gt;0)),$B32*D$18*(IF($Q$6,D$15,D$14)*1440),"-")</f>
        <v>15.873653758276719</v>
      </c>
      <c r="E32" s="13">
        <f t="shared" si="21"/>
        <v>25.76365050492618</v>
      </c>
      <c r="F32" s="14">
        <f t="shared" si="21"/>
        <v>32.88285930506833</v>
      </c>
      <c r="G32" s="43">
        <f t="shared" si="21"/>
        <v>36.60590578565674</v>
      </c>
      <c r="H32" s="37">
        <f t="shared" si="21"/>
        <v>44.0258959749604</v>
      </c>
      <c r="I32" s="38">
        <f t="shared" si="21"/>
        <v>51.3958733976017</v>
      </c>
      <c r="J32" s="26">
        <f t="shared" si="21"/>
        <v>61.50468370980808</v>
      </c>
      <c r="K32" s="586" t="s">
        <v>3</v>
      </c>
      <c r="L32" s="599" t="s">
        <v>3</v>
      </c>
      <c r="M32" s="502"/>
      <c r="N32" s="623"/>
      <c r="O32" s="503"/>
      <c r="P32" s="504"/>
      <c r="Q32" s="498">
        <f aca="true" t="shared" si="22" ref="Q32:Q40">IF($R$29=1,IF(ISNA(T32),"too slow",T32),IF($R$29=2,IF(ISNA(U32),"too slow",U32),IF($R$29=3,IF(ISNA(V32),"too slow",V32),W32)))</f>
        <v>0</v>
      </c>
      <c r="R32" s="517">
        <f aca="true" t="shared" si="23" ref="R32:R40">IF(Q32="Too Slow","",IF($R$29=3,O32*N32*24*Q32,M32*1440*Q32))</f>
        <v>0</v>
      </c>
      <c r="S32" s="485"/>
      <c r="T32" s="494">
        <f t="shared" si="18"/>
        <v>0</v>
      </c>
      <c r="U32" s="494">
        <f t="shared" si="19"/>
        <v>0</v>
      </c>
      <c r="V32" s="494">
        <f t="shared" si="20"/>
        <v>0</v>
      </c>
      <c r="W32" s="495">
        <f aca="true" t="shared" si="24" ref="W32:W40">IF(M32*P32,LOOKUP(MAX(ROUND(P32/$E$3,2),0.65),$T$125:$T$204,$U$125:$U$204),0)</f>
        <v>0</v>
      </c>
      <c r="X32" s="467"/>
      <c r="Y32" s="467"/>
      <c r="Z32" s="467"/>
    </row>
    <row r="33" spans="1:26" ht="13.5" customHeight="1" thickBot="1">
      <c r="A33" s="45"/>
      <c r="B33" s="15">
        <f t="shared" si="11"/>
        <v>30</v>
      </c>
      <c r="C33" s="16" t="str">
        <f t="shared" si="10"/>
        <v>KM </v>
      </c>
      <c r="D33" s="22">
        <f t="shared" si="21"/>
        <v>17.007486169582197</v>
      </c>
      <c r="E33" s="18">
        <f t="shared" si="21"/>
        <v>27.603911255278053</v>
      </c>
      <c r="F33" s="19">
        <f t="shared" si="21"/>
        <v>35.23163496971607</v>
      </c>
      <c r="G33" s="42">
        <f t="shared" si="21"/>
        <v>39.22061334177508</v>
      </c>
      <c r="H33" s="39">
        <f t="shared" si="21"/>
        <v>47.17060283031472</v>
      </c>
      <c r="I33" s="40">
        <f t="shared" si="21"/>
        <v>55.06700721171611</v>
      </c>
      <c r="J33" s="27">
        <f t="shared" si="21"/>
        <v>65.8978754033658</v>
      </c>
      <c r="K33" s="589" t="s">
        <v>3</v>
      </c>
      <c r="L33" s="597" t="s">
        <v>3</v>
      </c>
      <c r="M33" s="502"/>
      <c r="N33" s="624"/>
      <c r="O33" s="503"/>
      <c r="P33" s="504"/>
      <c r="Q33" s="498">
        <f t="shared" si="22"/>
        <v>0</v>
      </c>
      <c r="R33" s="517">
        <f t="shared" si="23"/>
        <v>0</v>
      </c>
      <c r="S33" s="485"/>
      <c r="T33" s="494">
        <f t="shared" si="18"/>
        <v>0</v>
      </c>
      <c r="U33" s="494">
        <f t="shared" si="19"/>
        <v>0</v>
      </c>
      <c r="V33" s="494">
        <f t="shared" si="20"/>
        <v>0</v>
      </c>
      <c r="W33" s="495">
        <f t="shared" si="24"/>
        <v>0</v>
      </c>
      <c r="X33" s="467"/>
      <c r="Y33" s="467"/>
      <c r="Z33" s="467"/>
    </row>
    <row r="34" spans="1:26" ht="13.5" customHeight="1">
      <c r="A34" s="45"/>
      <c r="B34" s="6">
        <f t="shared" si="11"/>
        <v>32</v>
      </c>
      <c r="C34" s="20" t="str">
        <f t="shared" si="10"/>
        <v>KM </v>
      </c>
      <c r="D34" s="7">
        <f t="shared" si="21"/>
        <v>18.141318580887678</v>
      </c>
      <c r="E34" s="8">
        <f t="shared" si="21"/>
        <v>29.444172005629923</v>
      </c>
      <c r="F34" s="9">
        <f t="shared" si="21"/>
        <v>37.58041063436381</v>
      </c>
      <c r="G34" s="41">
        <f t="shared" si="21"/>
        <v>41.83532089789341</v>
      </c>
      <c r="H34" s="35">
        <f t="shared" si="21"/>
        <v>50.315309685669035</v>
      </c>
      <c r="I34" s="36">
        <f t="shared" si="21"/>
        <v>58.738141025830515</v>
      </c>
      <c r="J34" s="28">
        <f t="shared" si="21"/>
        <v>70.29106709692353</v>
      </c>
      <c r="K34" s="592" t="s">
        <v>3</v>
      </c>
      <c r="L34" s="600" t="s">
        <v>3</v>
      </c>
      <c r="M34" s="502"/>
      <c r="N34" s="623"/>
      <c r="O34" s="503"/>
      <c r="P34" s="504"/>
      <c r="Q34" s="498">
        <f t="shared" si="22"/>
        <v>0</v>
      </c>
      <c r="R34" s="517">
        <f>IF(Q34="Too Slow","",IF($R$29=3,O34*N34*24*Q34,M34*1440*Q34))</f>
        <v>0</v>
      </c>
      <c r="S34" s="485"/>
      <c r="T34" s="494">
        <f>IF(M34*N34,LOOKUP(((0.182258*(1/((M34/N34)*1440)*IF($Q$6,1000,1609.344))+(0.000104*(1/((M34/N34)*1440)*IF($Q$6,1000,1609.344))^2)-4.6)/$I$6),$S$125:$S$204,$U$125:$U$204),0)</f>
        <v>0</v>
      </c>
      <c r="U34" s="494">
        <f>IF(M34*O34,LOOKUP(((0.182258*(1/(O34*24)*IF($Q$6,1000,1609.344))+(0.000104*(1/(O34*24)*IF($Q$6,1000,1609.344))^2)-4.6)/$I$6),$S$125:$S$204,$U$125:$U$204),0)</f>
        <v>0</v>
      </c>
      <c r="V34" s="494">
        <f>IF(N34*O34,LOOKUP(((0.182258*(1/(O34*24)*IF($Q$6,1000,1609.344))+(0.000104*(1/(O34*24)*IF($Q$6,1000,1609.344))^2)-4.6)/$I$6),$S$125:$S$204,$U$125:$U$204),0)</f>
        <v>0</v>
      </c>
      <c r="W34" s="495">
        <f>IF(M34*P34,LOOKUP(MAX(ROUND(P34/$E$3,2),0.65),$T$125:$T$204,$U$125:$U$204),0)</f>
        <v>0</v>
      </c>
      <c r="X34" s="467"/>
      <c r="Y34" s="467"/>
      <c r="Z34" s="467"/>
    </row>
    <row r="35" spans="1:26" ht="13.5" customHeight="1">
      <c r="A35" s="45"/>
      <c r="B35" s="10">
        <f t="shared" si="11"/>
        <v>34</v>
      </c>
      <c r="C35" s="11" t="str">
        <f t="shared" si="10"/>
        <v>KM </v>
      </c>
      <c r="D35" s="21">
        <f t="shared" si="21"/>
        <v>19.275150992193158</v>
      </c>
      <c r="E35" s="13">
        <f t="shared" si="21"/>
        <v>31.28443275598179</v>
      </c>
      <c r="F35" s="14">
        <f t="shared" si="21"/>
        <v>39.92918629901155</v>
      </c>
      <c r="G35" s="43">
        <f t="shared" si="21"/>
        <v>44.45002845401175</v>
      </c>
      <c r="H35" s="37">
        <f t="shared" si="21"/>
        <v>53.46001654102335</v>
      </c>
      <c r="I35" s="38">
        <f t="shared" si="21"/>
        <v>62.40927483994492</v>
      </c>
      <c r="J35" s="26">
        <f t="shared" si="21"/>
        <v>74.68425879048124</v>
      </c>
      <c r="K35" s="586" t="s">
        <v>3</v>
      </c>
      <c r="L35" s="599" t="s">
        <v>3</v>
      </c>
      <c r="M35" s="502"/>
      <c r="N35" s="623"/>
      <c r="O35" s="503"/>
      <c r="P35" s="504"/>
      <c r="Q35" s="498">
        <f t="shared" si="22"/>
        <v>0</v>
      </c>
      <c r="R35" s="517">
        <f>IF(Q35="Too Slow","",IF($R$29=3,O35*N35*24*Q35,M35*1440*Q35))</f>
        <v>0</v>
      </c>
      <c r="S35" s="485"/>
      <c r="T35" s="494">
        <f>IF(M35*N35,LOOKUP(((0.182258*(1/((M35/N35)*1440)*IF($Q$6,1000,1609.344))+(0.000104*(1/((M35/N35)*1440)*IF($Q$6,1000,1609.344))^2)-4.6)/$I$6),$S$125:$S$204,$U$125:$U$204),0)</f>
        <v>0</v>
      </c>
      <c r="U35" s="494">
        <f>IF(M35*O35,LOOKUP(((0.182258*(1/(O35*24)*IF($Q$6,1000,1609.344))+(0.000104*(1/(O35*24)*IF($Q$6,1000,1609.344))^2)-4.6)/$I$6),$S$125:$S$204,$U$125:$U$204),0)</f>
        <v>0</v>
      </c>
      <c r="V35" s="494">
        <f>IF(N35*O35,LOOKUP(((0.182258*(1/(O35*24)*IF($Q$6,1000,1609.344))+(0.000104*(1/(O35*24)*IF($Q$6,1000,1609.344))^2)-4.6)/$I$6),$S$125:$S$204,$U$125:$U$204),0)</f>
        <v>0</v>
      </c>
      <c r="W35" s="495">
        <f>IF(M35*P35,LOOKUP(MAX(ROUND(P35/$E$3,2),0.65),$T$125:$T$204,$U$125:$U$204),0)</f>
        <v>0</v>
      </c>
      <c r="X35" s="467"/>
      <c r="Y35" s="467"/>
      <c r="Z35" s="467"/>
    </row>
    <row r="36" spans="1:27" ht="13.5" customHeight="1">
      <c r="A36" s="45"/>
      <c r="B36" s="10">
        <f t="shared" si="11"/>
        <v>36</v>
      </c>
      <c r="C36" s="11" t="str">
        <f t="shared" si="10"/>
        <v>KM </v>
      </c>
      <c r="D36" s="21">
        <f t="shared" si="21"/>
        <v>20.408983403498635</v>
      </c>
      <c r="E36" s="13">
        <f t="shared" si="21"/>
        <v>33.124693506333664</v>
      </c>
      <c r="F36" s="14">
        <f t="shared" si="21"/>
        <v>42.27796196365929</v>
      </c>
      <c r="G36" s="43">
        <f t="shared" si="21"/>
        <v>47.06473601013008</v>
      </c>
      <c r="H36" s="37">
        <f t="shared" si="21"/>
        <v>56.604723396377665</v>
      </c>
      <c r="I36" s="38">
        <f t="shared" si="21"/>
        <v>66.08040865405933</v>
      </c>
      <c r="J36" s="26">
        <f t="shared" si="21"/>
        <v>79.07745048403896</v>
      </c>
      <c r="K36" s="586" t="s">
        <v>3</v>
      </c>
      <c r="L36" s="599" t="s">
        <v>3</v>
      </c>
      <c r="M36" s="502"/>
      <c r="N36" s="623"/>
      <c r="O36" s="503"/>
      <c r="P36" s="504"/>
      <c r="Q36" s="498">
        <f t="shared" si="22"/>
        <v>0</v>
      </c>
      <c r="R36" s="517">
        <f t="shared" si="23"/>
        <v>0</v>
      </c>
      <c r="S36" s="485"/>
      <c r="T36" s="494">
        <f t="shared" si="18"/>
        <v>0</v>
      </c>
      <c r="U36" s="494">
        <f t="shared" si="19"/>
        <v>0</v>
      </c>
      <c r="V36" s="494">
        <f t="shared" si="20"/>
        <v>0</v>
      </c>
      <c r="W36" s="495">
        <f t="shared" si="24"/>
        <v>0</v>
      </c>
      <c r="X36" s="50"/>
      <c r="Y36" s="50"/>
      <c r="Z36" s="50"/>
      <c r="AA36" s="50"/>
    </row>
    <row r="37" spans="1:27" ht="13.5" customHeight="1">
      <c r="A37" s="45"/>
      <c r="B37" s="10">
        <f t="shared" si="11"/>
        <v>38</v>
      </c>
      <c r="C37" s="11" t="str">
        <f t="shared" si="10"/>
        <v>KM </v>
      </c>
      <c r="D37" s="21">
        <f t="shared" si="21"/>
        <v>21.54281581480412</v>
      </c>
      <c r="E37" s="13">
        <f t="shared" si="21"/>
        <v>34.96495425668553</v>
      </c>
      <c r="F37" s="14">
        <f t="shared" si="21"/>
        <v>44.626737628307026</v>
      </c>
      <c r="G37" s="43">
        <f t="shared" si="21"/>
        <v>49.67944356624843</v>
      </c>
      <c r="H37" s="37">
        <f t="shared" si="21"/>
        <v>59.74943025173197</v>
      </c>
      <c r="I37" s="38">
        <f t="shared" si="21"/>
        <v>69.75154246817374</v>
      </c>
      <c r="J37" s="26">
        <f t="shared" si="21"/>
        <v>83.47064217759669</v>
      </c>
      <c r="K37" s="586" t="s">
        <v>3</v>
      </c>
      <c r="L37" s="599" t="s">
        <v>3</v>
      </c>
      <c r="M37" s="502"/>
      <c r="N37" s="623"/>
      <c r="O37" s="503"/>
      <c r="P37" s="504"/>
      <c r="Q37" s="498">
        <f t="shared" si="22"/>
        <v>0</v>
      </c>
      <c r="R37" s="517">
        <f t="shared" si="23"/>
        <v>0</v>
      </c>
      <c r="S37" s="485"/>
      <c r="T37" s="494">
        <f t="shared" si="18"/>
        <v>0</v>
      </c>
      <c r="U37" s="494">
        <f t="shared" si="19"/>
        <v>0</v>
      </c>
      <c r="V37" s="494">
        <f t="shared" si="20"/>
        <v>0</v>
      </c>
      <c r="W37" s="495">
        <f t="shared" si="24"/>
        <v>0</v>
      </c>
      <c r="X37" s="50"/>
      <c r="Y37" s="50"/>
      <c r="Z37" s="50"/>
      <c r="AA37" s="50"/>
    </row>
    <row r="38" spans="1:27" ht="13.5" customHeight="1" thickBot="1">
      <c r="A38" s="45"/>
      <c r="B38" s="15">
        <f t="shared" si="11"/>
        <v>40</v>
      </c>
      <c r="C38" s="16" t="str">
        <f t="shared" si="10"/>
        <v>KM </v>
      </c>
      <c r="D38" s="22">
        <f t="shared" si="21"/>
        <v>22.676648226109595</v>
      </c>
      <c r="E38" s="18">
        <f t="shared" si="21"/>
        <v>36.805215007037404</v>
      </c>
      <c r="F38" s="19">
        <f t="shared" si="21"/>
        <v>46.97551329295476</v>
      </c>
      <c r="G38" s="42">
        <f t="shared" si="21"/>
        <v>52.29415112236676</v>
      </c>
      <c r="H38" s="39">
        <f t="shared" si="21"/>
        <v>62.894137107086294</v>
      </c>
      <c r="I38" s="40">
        <f t="shared" si="21"/>
        <v>73.42267628228815</v>
      </c>
      <c r="J38" s="27">
        <f t="shared" si="21"/>
        <v>87.86383387115441</v>
      </c>
      <c r="K38" s="589" t="s">
        <v>3</v>
      </c>
      <c r="L38" s="597" t="s">
        <v>3</v>
      </c>
      <c r="M38" s="502"/>
      <c r="N38" s="623"/>
      <c r="O38" s="503"/>
      <c r="P38" s="504"/>
      <c r="Q38" s="498">
        <f t="shared" si="22"/>
        <v>0</v>
      </c>
      <c r="R38" s="517">
        <f t="shared" si="23"/>
        <v>0</v>
      </c>
      <c r="S38" s="485"/>
      <c r="T38" s="494">
        <f t="shared" si="18"/>
        <v>0</v>
      </c>
      <c r="U38" s="494">
        <f t="shared" si="19"/>
        <v>0</v>
      </c>
      <c r="V38" s="494">
        <f t="shared" si="20"/>
        <v>0</v>
      </c>
      <c r="W38" s="495">
        <f t="shared" si="24"/>
        <v>0</v>
      </c>
      <c r="X38" s="50"/>
      <c r="Y38" s="50"/>
      <c r="Z38" s="50"/>
      <c r="AA38" s="50"/>
    </row>
    <row r="39" spans="1:27" ht="13.5" customHeight="1">
      <c r="A39" s="45"/>
      <c r="B39" s="6">
        <f t="shared" si="11"/>
        <v>42</v>
      </c>
      <c r="C39" s="20" t="str">
        <f t="shared" si="10"/>
        <v>KM </v>
      </c>
      <c r="D39" s="7">
        <f t="shared" si="21"/>
        <v>23.810480637415075</v>
      </c>
      <c r="E39" s="8">
        <f t="shared" si="21"/>
        <v>38.64547575738927</v>
      </c>
      <c r="F39" s="9">
        <f t="shared" si="21"/>
        <v>49.324288957602505</v>
      </c>
      <c r="G39" s="41">
        <f t="shared" si="21"/>
        <v>54.9088586784851</v>
      </c>
      <c r="H39" s="35">
        <f t="shared" si="21"/>
        <v>66.03884396244061</v>
      </c>
      <c r="I39" s="36">
        <f t="shared" si="21"/>
        <v>77.09381009640255</v>
      </c>
      <c r="J39" s="28">
        <f t="shared" si="21"/>
        <v>92.25702556471211</v>
      </c>
      <c r="K39" s="592" t="s">
        <v>3</v>
      </c>
      <c r="L39" s="600" t="s">
        <v>3</v>
      </c>
      <c r="M39" s="505"/>
      <c r="N39" s="625"/>
      <c r="O39" s="506"/>
      <c r="P39" s="507"/>
      <c r="Q39" s="499">
        <f t="shared" si="22"/>
        <v>0</v>
      </c>
      <c r="R39" s="518">
        <f t="shared" si="23"/>
        <v>0</v>
      </c>
      <c r="S39" s="485"/>
      <c r="T39" s="494">
        <f t="shared" si="18"/>
        <v>0</v>
      </c>
      <c r="U39" s="494">
        <f t="shared" si="19"/>
        <v>0</v>
      </c>
      <c r="V39" s="494">
        <f t="shared" si="20"/>
        <v>0</v>
      </c>
      <c r="W39" s="495">
        <f t="shared" si="24"/>
        <v>0</v>
      </c>
      <c r="X39" s="50"/>
      <c r="Y39" s="50"/>
      <c r="Z39" s="50"/>
      <c r="AA39" s="50"/>
    </row>
    <row r="40" spans="1:27" ht="13.5" customHeight="1" thickBot="1">
      <c r="A40" s="45"/>
      <c r="B40" s="10">
        <f t="shared" si="11"/>
        <v>44</v>
      </c>
      <c r="C40" s="11" t="str">
        <f t="shared" si="10"/>
        <v>KM </v>
      </c>
      <c r="D40" s="21">
        <f t="shared" si="21"/>
        <v>24.944313048720556</v>
      </c>
      <c r="E40" s="13">
        <f t="shared" si="21"/>
        <v>40.485736507741144</v>
      </c>
      <c r="F40" s="14">
        <f t="shared" si="21"/>
        <v>51.67306462225024</v>
      </c>
      <c r="G40" s="43">
        <f t="shared" si="21"/>
        <v>57.52356623460344</v>
      </c>
      <c r="H40" s="37">
        <f t="shared" si="21"/>
        <v>69.18355081779492</v>
      </c>
      <c r="I40" s="38">
        <f t="shared" si="21"/>
        <v>80.76494391051696</v>
      </c>
      <c r="J40" s="26">
        <f t="shared" si="21"/>
        <v>96.65021725826983</v>
      </c>
      <c r="K40" s="586" t="s">
        <v>3</v>
      </c>
      <c r="L40" s="599" t="s">
        <v>3</v>
      </c>
      <c r="M40" s="508"/>
      <c r="N40" s="626"/>
      <c r="O40" s="509"/>
      <c r="P40" s="510"/>
      <c r="Q40" s="499">
        <f t="shared" si="22"/>
        <v>0</v>
      </c>
      <c r="R40" s="518">
        <f t="shared" si="23"/>
        <v>0</v>
      </c>
      <c r="S40" s="485"/>
      <c r="T40" s="496">
        <f t="shared" si="18"/>
        <v>0</v>
      </c>
      <c r="U40" s="496">
        <f t="shared" si="19"/>
        <v>0</v>
      </c>
      <c r="V40" s="496">
        <f t="shared" si="20"/>
        <v>0</v>
      </c>
      <c r="W40" s="497">
        <f t="shared" si="24"/>
        <v>0</v>
      </c>
      <c r="X40" s="50"/>
      <c r="Y40" s="50"/>
      <c r="Z40" s="50"/>
      <c r="AA40" s="50"/>
    </row>
    <row r="41" spans="1:26" ht="13.5" customHeight="1" thickBot="1">
      <c r="A41" s="45"/>
      <c r="B41" s="10">
        <f t="shared" si="11"/>
        <v>46</v>
      </c>
      <c r="C41" s="11" t="str">
        <f t="shared" si="10"/>
        <v>KM </v>
      </c>
      <c r="D41" s="21">
        <f t="shared" si="21"/>
        <v>26.078145460026036</v>
      </c>
      <c r="E41" s="13">
        <f t="shared" si="21"/>
        <v>42.32599725809301</v>
      </c>
      <c r="F41" s="14">
        <f t="shared" si="21"/>
        <v>54.02184028689798</v>
      </c>
      <c r="G41" s="43">
        <f t="shared" si="21"/>
        <v>60.13827379072178</v>
      </c>
      <c r="H41" s="37">
        <f t="shared" si="21"/>
        <v>72.32825767314924</v>
      </c>
      <c r="I41" s="38">
        <f t="shared" si="21"/>
        <v>84.43607772463137</v>
      </c>
      <c r="J41" s="26">
        <f t="shared" si="21"/>
        <v>101.04340895182756</v>
      </c>
      <c r="K41" s="586" t="s">
        <v>3</v>
      </c>
      <c r="L41" s="599" t="s">
        <v>3</v>
      </c>
      <c r="M41" s="511">
        <f>IF(SUM(M31:M40)&gt;0,SUM(M31:M40),"")</f>
        <v>0.06119212962962963</v>
      </c>
      <c r="N41" s="512">
        <f>IF(SUM(N31:N40)&gt;0,SUM(N31:N40),"")</f>
        <v>21.097</v>
      </c>
      <c r="O41" s="513">
        <f>IF(SUM(O31:O40)&gt;0,AVERAGE(O31:O40),"")</f>
      </c>
      <c r="P41" s="514">
        <f>IF(SUM(P31:P40)&gt;0,AVERAGE(P31:P40),"")</f>
      </c>
      <c r="Q41" s="516"/>
      <c r="R41" s="519">
        <f>IF(SUM(R31:R40)&gt;0,SUM(R31:R40),"")</f>
        <v>54.367983333333335</v>
      </c>
      <c r="S41" s="470"/>
      <c r="T41" s="56"/>
      <c r="U41" s="456"/>
      <c r="V41" s="50"/>
      <c r="W41" s="50"/>
      <c r="X41" s="50"/>
      <c r="Y41" s="50"/>
      <c r="Z41" s="50"/>
    </row>
    <row r="42" spans="1:26" ht="13.5" customHeight="1" thickBot="1" thickTop="1">
      <c r="A42" s="45"/>
      <c r="B42" s="10">
        <f t="shared" si="11"/>
        <v>48</v>
      </c>
      <c r="C42" s="11" t="str">
        <f t="shared" si="10"/>
        <v>KM </v>
      </c>
      <c r="D42" s="21">
        <f t="shared" si="21"/>
        <v>27.21197787133152</v>
      </c>
      <c r="E42" s="13">
        <f t="shared" si="21"/>
        <v>44.16625800844488</v>
      </c>
      <c r="F42" s="14">
        <f t="shared" si="21"/>
        <v>56.370615951545716</v>
      </c>
      <c r="G42" s="43">
        <f t="shared" si="21"/>
        <v>62.752981346840116</v>
      </c>
      <c r="H42" s="37">
        <f t="shared" si="21"/>
        <v>75.47296452850355</v>
      </c>
      <c r="I42" s="38">
        <f t="shared" si="21"/>
        <v>88.10721153874577</v>
      </c>
      <c r="J42" s="26">
        <f t="shared" si="21"/>
        <v>105.43660064538528</v>
      </c>
      <c r="K42" s="586" t="s">
        <v>3</v>
      </c>
      <c r="L42" s="599" t="s">
        <v>3</v>
      </c>
      <c r="M42" s="794" t="s">
        <v>28</v>
      </c>
      <c r="N42" s="795"/>
      <c r="O42" s="795"/>
      <c r="P42" s="795"/>
      <c r="Q42" s="795"/>
      <c r="R42" s="796"/>
      <c r="S42" s="470"/>
      <c r="T42" s="616"/>
      <c r="U42" s="456"/>
      <c r="V42" s="50"/>
      <c r="W42" s="50"/>
      <c r="X42" s="50"/>
      <c r="Y42" s="50"/>
      <c r="Z42" s="50"/>
    </row>
    <row r="43" spans="1:19" ht="13.5" customHeight="1" thickBot="1">
      <c r="A43" s="45"/>
      <c r="B43" s="10">
        <f t="shared" si="11"/>
        <v>50</v>
      </c>
      <c r="C43" s="11" t="str">
        <f t="shared" si="10"/>
        <v>KM </v>
      </c>
      <c r="D43" s="22">
        <f t="shared" si="21"/>
        <v>28.345810282636993</v>
      </c>
      <c r="E43" s="18">
        <f t="shared" si="21"/>
        <v>46.00651875879676</v>
      </c>
      <c r="F43" s="19">
        <f t="shared" si="21"/>
        <v>58.719391616193455</v>
      </c>
      <c r="G43" s="42">
        <f t="shared" si="21"/>
        <v>65.36768890295845</v>
      </c>
      <c r="H43" s="39">
        <f t="shared" si="21"/>
        <v>78.61767138385787</v>
      </c>
      <c r="I43" s="40">
        <f t="shared" si="21"/>
        <v>91.77834535286017</v>
      </c>
      <c r="J43" s="27">
        <f t="shared" si="21"/>
        <v>109.82979233894301</v>
      </c>
      <c r="K43" s="589" t="s">
        <v>3</v>
      </c>
      <c r="L43" s="597" t="s">
        <v>3</v>
      </c>
      <c r="M43" s="751" t="s">
        <v>280</v>
      </c>
      <c r="N43" s="741"/>
      <c r="O43" s="741"/>
      <c r="P43" s="741" t="s">
        <v>278</v>
      </c>
      <c r="Q43" s="741"/>
      <c r="R43" s="742"/>
      <c r="S43" s="470"/>
    </row>
    <row r="44" spans="1:19" ht="13.5" customHeight="1" thickBot="1">
      <c r="A44" s="45"/>
      <c r="B44" s="15">
        <f t="shared" si="11"/>
        <v>52</v>
      </c>
      <c r="C44" s="16" t="str">
        <f t="shared" si="10"/>
        <v>KM </v>
      </c>
      <c r="D44" s="17">
        <f t="shared" si="21"/>
        <v>29.479642693942473</v>
      </c>
      <c r="E44" s="60">
        <f t="shared" si="21"/>
        <v>47.846779509148625</v>
      </c>
      <c r="F44" s="61">
        <f t="shared" si="21"/>
        <v>61.068167280841195</v>
      </c>
      <c r="G44" s="62">
        <f t="shared" si="21"/>
        <v>67.9823964590768</v>
      </c>
      <c r="H44" s="63">
        <f t="shared" si="21"/>
        <v>81.76237823921218</v>
      </c>
      <c r="I44" s="64">
        <f t="shared" si="21"/>
        <v>95.44947916697458</v>
      </c>
      <c r="J44" s="65">
        <f t="shared" si="21"/>
        <v>114.22298403250072</v>
      </c>
      <c r="K44" s="601" t="s">
        <v>3</v>
      </c>
      <c r="L44" s="602" t="s">
        <v>3</v>
      </c>
      <c r="M44" s="743" t="s">
        <v>281</v>
      </c>
      <c r="N44" s="739"/>
      <c r="O44" s="739"/>
      <c r="P44" s="739" t="s">
        <v>279</v>
      </c>
      <c r="Q44" s="739"/>
      <c r="R44" s="740"/>
      <c r="S44" s="470"/>
    </row>
    <row r="45" spans="1:19" ht="13.5" customHeight="1" thickBot="1">
      <c r="A45" s="45"/>
      <c r="B45" s="802" t="s">
        <v>42</v>
      </c>
      <c r="C45" s="803"/>
      <c r="D45" s="803"/>
      <c r="E45" s="803"/>
      <c r="F45" s="803"/>
      <c r="G45" s="803"/>
      <c r="H45" s="803"/>
      <c r="I45" s="803"/>
      <c r="J45" s="803"/>
      <c r="K45" s="803"/>
      <c r="L45" s="803"/>
      <c r="M45" s="803"/>
      <c r="N45" s="803"/>
      <c r="O45" s="803"/>
      <c r="P45" s="803"/>
      <c r="Q45" s="803"/>
      <c r="R45" s="804"/>
      <c r="S45" s="470"/>
    </row>
    <row r="46" spans="1:19" ht="13.5" customHeight="1" thickBot="1" thickTop="1">
      <c r="A46" s="45"/>
      <c r="B46" s="169"/>
      <c r="C46" s="170"/>
      <c r="D46" s="169"/>
      <c r="E46" s="171"/>
      <c r="F46" s="169"/>
      <c r="G46" s="171"/>
      <c r="H46" s="171"/>
      <c r="I46" s="169"/>
      <c r="J46" s="169"/>
      <c r="K46" s="171"/>
      <c r="L46" s="171"/>
      <c r="M46" s="171"/>
      <c r="N46" s="171"/>
      <c r="O46" s="171"/>
      <c r="P46" s="171"/>
      <c r="Q46" s="171"/>
      <c r="R46" s="171"/>
      <c r="S46" s="470"/>
    </row>
    <row r="47" spans="1:19" ht="13.5" customHeight="1" thickBot="1" thickTop="1">
      <c r="A47" s="45"/>
      <c r="B47" s="926" t="str">
        <f>"Pace for Tempo Runs of 20 to 60 Minutes at VDOT "&amp;$I$6&amp;" (Daniels)"</f>
        <v>Pace for Tempo Runs of 20 to 60 Minutes at VDOT 52,2 (Daniels)</v>
      </c>
      <c r="C47" s="927"/>
      <c r="D47" s="927"/>
      <c r="E47" s="927"/>
      <c r="F47" s="927"/>
      <c r="G47" s="927"/>
      <c r="H47" s="927"/>
      <c r="I47" s="927"/>
      <c r="J47" s="927"/>
      <c r="K47" s="927"/>
      <c r="L47" s="158" t="b">
        <v>1</v>
      </c>
      <c r="M47" s="212" t="s">
        <v>170</v>
      </c>
      <c r="N47" s="749" t="s">
        <v>236</v>
      </c>
      <c r="O47" s="750"/>
      <c r="P47" s="750"/>
      <c r="Q47" s="934" t="s">
        <v>124</v>
      </c>
      <c r="R47" s="935"/>
      <c r="S47" s="470"/>
    </row>
    <row r="48" spans="1:19" ht="13.5" customHeight="1" thickBot="1">
      <c r="A48" s="45"/>
      <c r="B48" s="752" t="s">
        <v>40</v>
      </c>
      <c r="C48" s="753"/>
      <c r="D48" s="130">
        <v>20</v>
      </c>
      <c r="E48" s="131">
        <v>25</v>
      </c>
      <c r="F48" s="131">
        <v>30</v>
      </c>
      <c r="G48" s="131">
        <v>35</v>
      </c>
      <c r="H48" s="131">
        <v>40</v>
      </c>
      <c r="I48" s="131">
        <v>45</v>
      </c>
      <c r="J48" s="131">
        <v>50</v>
      </c>
      <c r="K48" s="131">
        <v>55</v>
      </c>
      <c r="L48" s="132">
        <v>60</v>
      </c>
      <c r="M48" s="83" t="s">
        <v>171</v>
      </c>
      <c r="N48" s="408" t="s">
        <v>82</v>
      </c>
      <c r="O48" s="409">
        <f>$E$5</f>
        <v>45</v>
      </c>
      <c r="P48" s="105"/>
      <c r="Q48" s="151" t="s">
        <v>120</v>
      </c>
      <c r="R48" s="136">
        <v>33</v>
      </c>
      <c r="S48" s="470"/>
    </row>
    <row r="49" spans="1:18" ht="13.5" customHeight="1" thickBot="1">
      <c r="A49" s="45"/>
      <c r="B49" s="805" t="str">
        <f>IF($L$47,"Pace / km","Pace / mile")</f>
        <v>Pace / km</v>
      </c>
      <c r="C49" s="806"/>
      <c r="D49" s="87">
        <f>IF($L$6&lt;&gt;"-",IF($L$47,$L$6*0.621371192,$L$6),"-")</f>
        <v>0.002853949465249678</v>
      </c>
      <c r="E49" s="88">
        <f>IF($D$49&lt;&gt;"-",D$49*1.012,"-")</f>
        <v>0.0028881968588326742</v>
      </c>
      <c r="F49" s="88">
        <f>IF($D$49&lt;&gt;"-",$D$49*1.022,"-")</f>
        <v>0.002916736353485171</v>
      </c>
      <c r="G49" s="88">
        <f>IF($D$49&lt;&gt;"-",$D$49*1.027,"-")</f>
        <v>0.002931006100811419</v>
      </c>
      <c r="H49" s="88">
        <f>IF($D$49&lt;&gt;"-",$D$49*1.033,"-")</f>
        <v>0.002948129797602917</v>
      </c>
      <c r="I49" s="88">
        <f>IF($D$49&lt;&gt;"-",$D$49*1.038,"-")</f>
        <v>0.0029623995449291657</v>
      </c>
      <c r="J49" s="88">
        <f>IF($D$49&lt;&gt;"-",$D$49*1.043,"-")</f>
        <v>0.002976669292255414</v>
      </c>
      <c r="K49" s="88">
        <f>IF($D$49&lt;&gt;"-",$D$49*1.04866,"-")</f>
        <v>0.0029928226462287272</v>
      </c>
      <c r="L49" s="95">
        <f>IF($D$49&lt;&gt;"-",$D$49*1.055,"-")</f>
        <v>0.00301091668583841</v>
      </c>
      <c r="M49" s="122">
        <v>0.1826388888888889</v>
      </c>
      <c r="N49" s="84" t="s">
        <v>46</v>
      </c>
      <c r="O49" s="85" t="s">
        <v>47</v>
      </c>
      <c r="P49" s="141" t="str">
        <f>IF($P$70,"Pace/ km","Pace/ mi")</f>
        <v>Pace/ km</v>
      </c>
      <c r="Q49" s="152" t="b">
        <v>1</v>
      </c>
      <c r="R49" s="86" t="str">
        <f>IF($P$70,"Pace/ km","Pace/ mi")</f>
        <v>Pace/ km</v>
      </c>
    </row>
    <row r="50" spans="2:18" ht="13.5" customHeight="1" thickBot="1">
      <c r="B50" s="760" t="s">
        <v>118</v>
      </c>
      <c r="C50" s="761"/>
      <c r="D50" s="133" t="str">
        <f aca="true" t="shared" si="25" ref="D50:L50">IF(D49&lt;&gt;"-",IF($L$47,ROUND(D48/D49/1440,1)&amp;" km",ROUND(D48/D49/1440,1)&amp;" mi"),"-")</f>
        <v>4,9 km</v>
      </c>
      <c r="E50" s="134" t="str">
        <f t="shared" si="25"/>
        <v>6 km</v>
      </c>
      <c r="F50" s="134" t="str">
        <f t="shared" si="25"/>
        <v>7,1 km</v>
      </c>
      <c r="G50" s="134" t="str">
        <f t="shared" si="25"/>
        <v>8,3 km</v>
      </c>
      <c r="H50" s="134" t="str">
        <f t="shared" si="25"/>
        <v>9,4 km</v>
      </c>
      <c r="I50" s="134" t="str">
        <f t="shared" si="25"/>
        <v>10,5 km</v>
      </c>
      <c r="J50" s="134" t="str">
        <f t="shared" si="25"/>
        <v>11,7 km</v>
      </c>
      <c r="K50" s="134" t="str">
        <f t="shared" si="25"/>
        <v>12,8 km</v>
      </c>
      <c r="L50" s="135" t="str">
        <f t="shared" si="25"/>
        <v>13,8 km</v>
      </c>
      <c r="M50" s="123">
        <v>0.17569444444444446</v>
      </c>
      <c r="N50" s="156" t="str">
        <f aca="true" t="shared" si="26" ref="N50:N69">V136</f>
        <v>1500m</v>
      </c>
      <c r="O50" s="142">
        <f>IF(AND($E$6&gt;0,$G$6&gt;0),($G$6*(W136/$D$8)^1.08),"-")</f>
        <v>0.0035213142636287354</v>
      </c>
      <c r="P50" s="148">
        <f aca="true" t="shared" si="27" ref="P50:P69">IF(O50&lt;&gt;"-",O50/W136*IF($P$70,0.621371192,1),"-")</f>
        <v>0.002347542841522508</v>
      </c>
      <c r="Q50" s="153">
        <f aca="true" t="shared" si="28" ref="Q50:Q69">IF($O$82="yes",(O50*LOOKUP($O$48,$AA$125:$AA$220,IF($C$4,$AB$125:$AB$220,$AC$125:$AC$220))/LOOKUP($R$48,$AA$125:$AA$220,IF($Q$49,$AB$125:$AB$220,$AC$125:$AC$220)))*(IF(AND($C$4,NOT($Q$49)),LOOKUP($O$48,$AA$125:$AA$220,$AD$125:$AD$220),IF(AND(NOT($C$4),$Q$49),1/LOOKUP($R$48,$AA$125:$AA$220,$AD$125:$AD$220),1))),"-")</f>
        <v>0.0032459531365554286</v>
      </c>
      <c r="R50" s="145">
        <f aca="true" t="shared" si="29" ref="R50:R69">IF($O$82="yes",Q50/W136*IF($P$70,0.621371192,1),"-")</f>
        <v>0.002163968756877087</v>
      </c>
    </row>
    <row r="51" spans="2:18" ht="13.5" customHeight="1" thickBot="1">
      <c r="B51" s="772" t="s">
        <v>119</v>
      </c>
      <c r="C51" s="773"/>
      <c r="D51" s="773"/>
      <c r="E51" s="773"/>
      <c r="F51" s="773"/>
      <c r="G51" s="773"/>
      <c r="H51" s="773"/>
      <c r="I51" s="773"/>
      <c r="J51" s="773"/>
      <c r="K51" s="773"/>
      <c r="L51" s="774"/>
      <c r="M51" s="123">
        <v>0.17569444444444446</v>
      </c>
      <c r="N51" s="157" t="str">
        <f t="shared" si="26"/>
        <v>1 Mile</v>
      </c>
      <c r="O51" s="143">
        <f>IF(AND($E$6&gt;0,$G$6&gt;0),($G$6*(W137/$D$8)^1.08),"-")</f>
        <v>0.0037993300458651048</v>
      </c>
      <c r="P51" s="149">
        <f t="shared" si="27"/>
        <v>0.002360794239400615</v>
      </c>
      <c r="Q51" s="154">
        <f t="shared" si="28"/>
        <v>0.003502228530570417</v>
      </c>
      <c r="R51" s="146">
        <f t="shared" si="29"/>
        <v>0.0021761839166969488</v>
      </c>
    </row>
    <row r="52" spans="2:18" ht="13.5" customHeight="1" thickBot="1">
      <c r="B52" s="96"/>
      <c r="C52" s="57"/>
      <c r="D52" s="58"/>
      <c r="E52" s="58"/>
      <c r="F52" s="58"/>
      <c r="G52" s="58"/>
      <c r="H52" s="58"/>
      <c r="I52" s="58"/>
      <c r="J52" s="58"/>
      <c r="K52" s="58"/>
      <c r="L52" s="97"/>
      <c r="M52" s="123">
        <v>0.17500000000000002</v>
      </c>
      <c r="N52" s="157" t="str">
        <f t="shared" si="26"/>
        <v>2k</v>
      </c>
      <c r="O52" s="143">
        <f>IF(AND($E$6&gt;0,$G$6&gt;0),($G$6*(W138/$D$8)^1.075),"-")</f>
        <v>0.004861324657022286</v>
      </c>
      <c r="P52" s="149">
        <f t="shared" si="27"/>
        <v>0.0024306623275827466</v>
      </c>
      <c r="Q52" s="154">
        <f t="shared" si="28"/>
        <v>0.004481176866621023</v>
      </c>
      <c r="R52" s="146">
        <f t="shared" si="29"/>
        <v>0.0022405884324547144</v>
      </c>
    </row>
    <row r="53" spans="2:18" ht="13.5" customHeight="1" thickBot="1">
      <c r="B53" s="700" t="str">
        <f>"Interval Split Times In "&amp;IF(L53,"Metric","US/Imperial")&amp;" Distances (Daniels)"</f>
        <v>Interval Split Times In Metric Distances (Daniels)</v>
      </c>
      <c r="C53" s="701"/>
      <c r="D53" s="701"/>
      <c r="E53" s="701"/>
      <c r="F53" s="701"/>
      <c r="G53" s="701"/>
      <c r="H53" s="701"/>
      <c r="I53" s="701"/>
      <c r="J53" s="701"/>
      <c r="K53" s="702"/>
      <c r="L53" s="98" t="b">
        <v>1</v>
      </c>
      <c r="M53" s="123">
        <v>0.17361111111111113</v>
      </c>
      <c r="N53" s="157" t="str">
        <f t="shared" si="26"/>
        <v>3k</v>
      </c>
      <c r="O53" s="143">
        <f>IF(AND($E$6&gt;0,$G$6&gt;0),($G$6*(W139/$D$8)^1.07),"-")</f>
        <v>0.0075908127324439785</v>
      </c>
      <c r="P53" s="149">
        <f t="shared" si="27"/>
        <v>0.002530270909848218</v>
      </c>
      <c r="Q53" s="154">
        <f t="shared" si="28"/>
        <v>0.006997223352763279</v>
      </c>
      <c r="R53" s="146">
        <f t="shared" si="29"/>
        <v>0.002332407783363559</v>
      </c>
    </row>
    <row r="54" spans="2:18" ht="13.5" customHeight="1" thickBot="1">
      <c r="B54" s="768" t="str">
        <f>"Pace per "&amp;IF($L$53,"/ km","/ mile")</f>
        <v>Pace per / km</v>
      </c>
      <c r="C54" s="769"/>
      <c r="D54" s="177" t="str">
        <f>IF($L$53,"100m","110yd")</f>
        <v>100m</v>
      </c>
      <c r="E54" s="177" t="str">
        <f>IF($L$53,"200m","220yd")</f>
        <v>200m</v>
      </c>
      <c r="F54" s="177" t="str">
        <f>IF($L$53,"300m","330yd")</f>
        <v>300m</v>
      </c>
      <c r="G54" s="177" t="str">
        <f>IF($L$53,"400m","440yd")</f>
        <v>400m</v>
      </c>
      <c r="H54" s="177" t="str">
        <f>IF($L$53,"600m","660yd")</f>
        <v>600m</v>
      </c>
      <c r="I54" s="177" t="str">
        <f>IF($L$53,"800m","880yd")</f>
        <v>800m</v>
      </c>
      <c r="J54" s="177" t="str">
        <f>IF($L$53,"1000m","1100yd")</f>
        <v>1000m</v>
      </c>
      <c r="K54" s="177" t="str">
        <f>IF($L$53,"1200m","1320yd")</f>
        <v>1200m</v>
      </c>
      <c r="L54" s="178" t="str">
        <f>IF($L$53,"1600m","1 mile")</f>
        <v>1600m</v>
      </c>
      <c r="M54" s="123"/>
      <c r="N54" s="157" t="str">
        <f t="shared" si="26"/>
        <v>2 Mile</v>
      </c>
      <c r="O54" s="143">
        <f>IF(AND($E$6&gt;0,$G$6&gt;0),($G$6*(W140/$D$8)^1.07),"-")</f>
        <v>0.008184364018094976</v>
      </c>
      <c r="P54" s="149">
        <f t="shared" si="27"/>
        <v>0.0025427640128427927</v>
      </c>
      <c r="Q54" s="154">
        <f t="shared" si="28"/>
        <v>0.007544359879958653</v>
      </c>
      <c r="R54" s="146">
        <f t="shared" si="29"/>
        <v>0.0023439239457434427</v>
      </c>
    </row>
    <row r="55" spans="2:18" ht="13.5" customHeight="1">
      <c r="B55" s="754">
        <f>IF(AND($E$6&gt;0,$G$6&gt;0),(1/(29.54+5.000663*($I$6*(1.03+0.1*($I$6-30)/55))-0.007546*($I$6*(1.03+0.1*($I$6-30)/55))^2)*IF($L$53,1000,1609.344)/1440),"-")</f>
        <v>0.0024333606441246255</v>
      </c>
      <c r="C55" s="755"/>
      <c r="D55" s="179">
        <f>IF($R$14&lt;&gt;"-",IF($L$53,B55*0.1,B55*0.0625),"-")</f>
        <v>0.00024333606441246256</v>
      </c>
      <c r="E55" s="179">
        <f>IF($R$14&lt;&gt;"-",IF($L$53,B55*0.2,B55*0.125),"-")</f>
        <v>0.0004866721288249251</v>
      </c>
      <c r="F55" s="179">
        <f>IF($R$14&lt;&gt;"-",IF($L$53,B55*0.3,B55*0.1875),"-")</f>
        <v>0.0007300081932373877</v>
      </c>
      <c r="G55" s="179">
        <f>IF($R$14&lt;&gt;"-",IF($L$53,B55*0.4,B55*0.25),"-")</f>
        <v>0.0009733442576498503</v>
      </c>
      <c r="H55" s="179">
        <f>IF($R$14&lt;&gt;"-",IF($L$53,B55*0.6,B55*0.375),"-")</f>
        <v>0.0014600163864747753</v>
      </c>
      <c r="I55" s="179">
        <f>IF($R$14&lt;&gt;"-",IF($L$53,B55*0.8,B55*0.5),"-")</f>
        <v>0.0019466885152997005</v>
      </c>
      <c r="J55" s="179">
        <f>IF($R$14&lt;&gt;"-",IF($L$53,B55*1,B55*0.625),"-")</f>
        <v>0.0024333606441246255</v>
      </c>
      <c r="K55" s="179">
        <f>IF($R$14&lt;&gt;"-",IF($L$53,B55*1.2,B55*0.75),"-")</f>
        <v>0.0029200327729495506</v>
      </c>
      <c r="L55" s="180">
        <f>IF($R$14&lt;&gt;"-",IF($L$53,B55*1.6,B55*1),"-")</f>
        <v>0.003893377030599401</v>
      </c>
      <c r="M55" s="123"/>
      <c r="N55" s="157" t="str">
        <f t="shared" si="26"/>
        <v>3 Mile</v>
      </c>
      <c r="O55" s="143">
        <f>IF(AND($E$6&gt;0,$G$6&gt;0),($G$6*(W141/$D$8)^1.06),"-")</f>
        <v>0.012817614092201874</v>
      </c>
      <c r="P55" s="149">
        <f t="shared" si="27"/>
        <v>0.0026548320490224924</v>
      </c>
      <c r="Q55" s="154">
        <f t="shared" si="28"/>
        <v>0.01181529723020664</v>
      </c>
      <c r="R55" s="146">
        <f t="shared" si="29"/>
        <v>0.002447228441255933</v>
      </c>
    </row>
    <row r="56" spans="2:18" ht="13.5" customHeight="1">
      <c r="B56" s="756">
        <f>IF(AND($E$6&gt;0,$G$6&gt;0),(1/(29.54+5.000663*($I$6*0.98)-0.007546*($I$6*0.98)^2)*IF($L$53,1000,1609.344)/1440),"-")</f>
        <v>0.002614561035416659</v>
      </c>
      <c r="C56" s="757"/>
      <c r="D56" s="89">
        <f>IF($R$14&lt;&gt;"-",IF($L$53,B56*0.1,B56*0.0625),"-")</f>
        <v>0.0002614561035416659</v>
      </c>
      <c r="E56" s="89">
        <f>IF($R$14&lt;&gt;"-",IF($L$53,B56*0.2,B56*0.125),"-")</f>
        <v>0.0005229122070833318</v>
      </c>
      <c r="F56" s="89">
        <f>IF($R$14&lt;&gt;"-",IF($L$53,B56*0.3,B56*0.1875),"-")</f>
        <v>0.0007843683106249976</v>
      </c>
      <c r="G56" s="89">
        <f>IF($R$14&lt;&gt;"-",IF($L$53,B56*0.4,B56*0.25),"-")</f>
        <v>0.0010458244141666635</v>
      </c>
      <c r="H56" s="89">
        <f>IF($R$14&lt;&gt;"-",IF($L$53,B56*0.6,B56*0.375),"-")</f>
        <v>0.0015687366212499953</v>
      </c>
      <c r="I56" s="89">
        <f>IF($R$14&lt;&gt;"-",IF($L$53,B56*0.8,B56*0.5),"-")</f>
        <v>0.002091648828333327</v>
      </c>
      <c r="J56" s="89">
        <f>IF($R$14&lt;&gt;"-",IF($L$53,B56*1,B56*0.625),"-")</f>
        <v>0.002614561035416659</v>
      </c>
      <c r="K56" s="89">
        <f>IF($R$14&lt;&gt;"-",IF($L$53,B56*1.2,B56*0.75),"-")</f>
        <v>0.0031374732424999906</v>
      </c>
      <c r="L56" s="99">
        <f>IF($R$14&lt;&gt;"-",IF($L$53,B56*1.6,B56*1),"-")</f>
        <v>0.004183297656666654</v>
      </c>
      <c r="M56" s="123"/>
      <c r="N56" s="157" t="str">
        <f t="shared" si="26"/>
        <v>5k</v>
      </c>
      <c r="O56" s="143">
        <f aca="true" t="shared" si="30" ref="O56:O69">IF(AND($E$6&gt;0,$G$6&gt;0),($G$6*(W142/$D$8)^1.06),"-")</f>
        <v>0.013302064463616032</v>
      </c>
      <c r="P56" s="149">
        <f t="shared" si="27"/>
        <v>0.0026604128917070563</v>
      </c>
      <c r="Q56" s="154">
        <f t="shared" si="28"/>
        <v>0.012261864359655848</v>
      </c>
      <c r="R56" s="146">
        <f t="shared" si="29"/>
        <v>0.002452372870994481</v>
      </c>
    </row>
    <row r="57" spans="2:18" ht="13.5" customHeight="1" thickBot="1">
      <c r="B57" s="764">
        <f>IF(AND($E$6&gt;0,$G$6&gt;0),(1/(29.54+5.000663*($I$6*0.88)-0.007546*($I$6*0.88)^2)*IF($L$53,1000,1609.344)/1440),"-")</f>
        <v>0.0028539494663397495</v>
      </c>
      <c r="C57" s="765"/>
      <c r="D57" s="183">
        <f>IF($R$14&lt;&gt;"-",IF($L$53,B57*0.1,B57*0.0625),"-")</f>
        <v>0.00028539494663397494</v>
      </c>
      <c r="E57" s="183">
        <f>IF($R$14&lt;&gt;"-",IF($L$53,B57*0.2,B57*0.125),"-")</f>
        <v>0.0005707898932679499</v>
      </c>
      <c r="F57" s="183">
        <f>IF($R$14&lt;&gt;"-",IF($L$53,B57*0.3,B57*0.1875),"-")</f>
        <v>0.0008561848399019249</v>
      </c>
      <c r="G57" s="183">
        <f>IF($R$14&lt;&gt;"-",IF($L$53,B57*0.4,B57*0.25),"-")</f>
        <v>0.0011415797865358998</v>
      </c>
      <c r="H57" s="183">
        <f>IF($R$14&lt;&gt;"-",IF($L$53,B57*0.6,B57*0.375),"-")</f>
        <v>0.0017123696798038498</v>
      </c>
      <c r="I57" s="183">
        <f>IF($R$14&lt;&gt;"-",IF($L$53,B57*0.8,B57*0.5),"-")</f>
        <v>0.0022831595730717995</v>
      </c>
      <c r="J57" s="183">
        <f>IF($R$14&lt;&gt;"-",IF($L$53,B57*1,B57*0.625),"-")</f>
        <v>0.0028539494663397495</v>
      </c>
      <c r="K57" s="183">
        <f>IF($R$14&lt;&gt;"-",IF($L$53,B57*1.2,B57*0.75),"-")</f>
        <v>0.0034247393596076995</v>
      </c>
      <c r="L57" s="184">
        <f>IF($R$14&lt;&gt;"-",IF($L$53,B57*1.6,B57*1),"-")</f>
        <v>0.004566319146143599</v>
      </c>
      <c r="M57" s="123"/>
      <c r="N57" s="157" t="str">
        <f t="shared" si="26"/>
        <v>4 Mile</v>
      </c>
      <c r="O57" s="143">
        <f t="shared" si="30"/>
        <v>0.017387704573295276</v>
      </c>
      <c r="P57" s="149">
        <f t="shared" si="27"/>
        <v>0.0027010546792130843</v>
      </c>
      <c r="Q57" s="154">
        <f t="shared" si="28"/>
        <v>0.016028013966304034</v>
      </c>
      <c r="R57" s="146">
        <f t="shared" si="29"/>
        <v>0.0024898365359087462</v>
      </c>
    </row>
    <row r="58" spans="2:18" ht="13.5" customHeight="1" thickTop="1">
      <c r="B58" s="766">
        <f>IF($L$53,R15,R14)</f>
        <v>0.002360794239400615</v>
      </c>
      <c r="C58" s="767"/>
      <c r="D58" s="185">
        <f>IF($R$14&lt;&gt;"-",IF($L$53,R15*0.1,R14*0.0625),"-")</f>
        <v>0.0002360794239400615</v>
      </c>
      <c r="E58" s="185">
        <f>IF($R$14&lt;&gt;"-",IF($L$53,R15*0.2,R14*0.125),"-")</f>
        <v>0.000472158847880123</v>
      </c>
      <c r="F58" s="185">
        <f>IF($R$14&lt;&gt;"-",IF($L$53,R15*0.3,R14*0.1875),"-")</f>
        <v>0.0007082382718201844</v>
      </c>
      <c r="G58" s="185">
        <f>IF($R$14&lt;&gt;"-",IF($L$53,R15*0.4,R14*0.25),"-")</f>
        <v>0.000944317695760246</v>
      </c>
      <c r="H58" s="185">
        <f>IF($R$14&lt;&gt;"-",IF($L$53,R15*0.6,R14*0.375),"-")</f>
        <v>0.001416476543640369</v>
      </c>
      <c r="I58" s="185">
        <f>IF($R$14&lt;&gt;"-",IF($L$53,R15*0.8,R14*0.5),"-")</f>
        <v>0.001888635391520492</v>
      </c>
      <c r="J58" s="185">
        <f>IF($R$14&lt;&gt;"-",IF($L$53,R15,R14*0.625),"-")</f>
        <v>0.002360794239400615</v>
      </c>
      <c r="K58" s="185">
        <f>IF($R$14&lt;&gt;"-",IF($L$53,R15*1.2,R14*0.75),"-")</f>
        <v>0.002832953087280738</v>
      </c>
      <c r="L58" s="186">
        <f>IF($R$14&lt;&gt;"-",IF($L$53,R15*1.6,R14),"-")</f>
        <v>0.003777270783040984</v>
      </c>
      <c r="M58" s="358"/>
      <c r="N58" s="157" t="str">
        <f t="shared" si="26"/>
        <v>8k</v>
      </c>
      <c r="O58" s="143">
        <f t="shared" si="30"/>
        <v>0.021892039837542912</v>
      </c>
      <c r="P58" s="149">
        <f t="shared" si="27"/>
        <v>0.0027365049786476506</v>
      </c>
      <c r="Q58" s="154">
        <f t="shared" si="28"/>
        <v>0.020180117438038745</v>
      </c>
      <c r="R58" s="146">
        <f t="shared" si="29"/>
        <v>0.002522514678791364</v>
      </c>
    </row>
    <row r="59" spans="2:18" ht="13.5" customHeight="1">
      <c r="B59" s="762">
        <f>IF($L$53,P15,P14)</f>
        <v>0.0026604128916460873</v>
      </c>
      <c r="C59" s="763"/>
      <c r="D59" s="89">
        <f>IF($P$14&lt;&gt;"-",IF($L$53,P15*0.1,P14*0.0625),"-")</f>
        <v>0.0002660412891646087</v>
      </c>
      <c r="E59" s="89">
        <f>IF($P$14&lt;&gt;"-",IF($L$53,P15*0.2,P14*0.125),"-")</f>
        <v>0.0005320825783292174</v>
      </c>
      <c r="F59" s="89">
        <f>IF($P$14&lt;&gt;"-",IF($L$53,P15*0.3,P14*0.1875),"-")</f>
        <v>0.0007981238674938262</v>
      </c>
      <c r="G59" s="89">
        <f>IF($P$14&lt;&gt;"-",IF($L$53,P15*0.4,P14*0.25),"-")</f>
        <v>0.0010641651566584349</v>
      </c>
      <c r="H59" s="89">
        <f>IF($P$14&lt;&gt;"-",IF($L$53,P15*0.6,P14*0.375),"-")</f>
        <v>0.0015962477349876524</v>
      </c>
      <c r="I59" s="89">
        <f>IF($P$14&lt;&gt;"-",IF($L$53,P15*0.8,P14*0.5),"-")</f>
        <v>0.0021283303133168697</v>
      </c>
      <c r="J59" s="89">
        <f>IF($P$14&lt;&gt;"-",IF($L$53,P15,P14*0.625),"-")</f>
        <v>0.0026604128916460873</v>
      </c>
      <c r="K59" s="89">
        <f>IF($P$14&lt;&gt;"-",IF($L$53,P15*1.2,P14*0.75),"-")</f>
        <v>0.003192495469975305</v>
      </c>
      <c r="L59" s="99">
        <f>IF($P$14&lt;&gt;"-",IF($L$53,P15*1.6,P14),"-")</f>
        <v>0.0042566606266337395</v>
      </c>
      <c r="M59" s="123"/>
      <c r="N59" s="157" t="str">
        <f t="shared" si="26"/>
        <v>5 Mile</v>
      </c>
      <c r="O59" s="143">
        <f t="shared" si="30"/>
        <v>0.022027584020817698</v>
      </c>
      <c r="P59" s="149">
        <f t="shared" si="27"/>
        <v>0.002737461227979129</v>
      </c>
      <c r="Q59" s="154">
        <f t="shared" si="28"/>
        <v>0.020305062283600257</v>
      </c>
      <c r="R59" s="146">
        <f t="shared" si="29"/>
        <v>0.002523396150958987</v>
      </c>
    </row>
    <row r="60" spans="2:18" ht="13.5" customHeight="1" thickBot="1">
      <c r="B60" s="807">
        <f>IF($L$53,N15,N14)</f>
        <v>0.0027733892978237112</v>
      </c>
      <c r="C60" s="808"/>
      <c r="D60" s="181">
        <f>IF($N$14&lt;&gt;"-",IF($L$53,N15*0.1,N14*0.0625),"-")</f>
        <v>0.0002773389297823711</v>
      </c>
      <c r="E60" s="181">
        <f>IF($N$14&lt;&gt;"-",IF($L$53,N15*0.2,N14*0.125),"-")</f>
        <v>0.0005546778595647422</v>
      </c>
      <c r="F60" s="181">
        <f>IF($N$14&lt;&gt;"-",IF($L$53,N15*0.3,N14*0.1875),"-")</f>
        <v>0.0008320167893471134</v>
      </c>
      <c r="G60" s="181">
        <f>IF($N$14&lt;&gt;"-",IF($L$53,N15*0.4,N14*0.25),"-")</f>
        <v>0.0011093557191294845</v>
      </c>
      <c r="H60" s="181">
        <f>IF($N$14&lt;&gt;"-",IF($L$53,N15*0.6,N14*0.375),"-")</f>
        <v>0.0016640335786942267</v>
      </c>
      <c r="I60" s="181">
        <f>IF($N$14&lt;&gt;"-",IF($L$53,N15*0.8,N14*0.5),"-")</f>
        <v>0.002218711438258969</v>
      </c>
      <c r="J60" s="181">
        <f>IF($N$14&lt;&gt;"-",IF($L$53,N15,N14*0.625),"-")</f>
        <v>0.0027733892978237112</v>
      </c>
      <c r="K60" s="181">
        <f>IF($N$14&lt;&gt;"-",IF($L$53,N15*1.2,N14*0.75),"-")</f>
        <v>0.0033280671573884535</v>
      </c>
      <c r="L60" s="182">
        <f>IF($N$14&lt;&gt;"-",IF($L$53,N15*1.6,N14),"-")</f>
        <v>0.004437422876517938</v>
      </c>
      <c r="M60" s="123"/>
      <c r="N60" s="157" t="str">
        <f t="shared" si="26"/>
        <v>10k</v>
      </c>
      <c r="O60" s="143">
        <f t="shared" si="30"/>
        <v>0.027733893503642266</v>
      </c>
      <c r="P60" s="149">
        <f t="shared" si="27"/>
        <v>0.0027733893493049255</v>
      </c>
      <c r="Q60" s="154">
        <f t="shared" si="28"/>
        <v>0.025565147518038532</v>
      </c>
      <c r="R60" s="146">
        <f t="shared" si="29"/>
        <v>0.0025565147508273874</v>
      </c>
    </row>
    <row r="61" spans="2:18" ht="13.5" customHeight="1" thickBot="1">
      <c r="B61" s="746" t="s">
        <v>149</v>
      </c>
      <c r="C61" s="747"/>
      <c r="D61" s="747"/>
      <c r="E61" s="747"/>
      <c r="F61" s="747"/>
      <c r="G61" s="747"/>
      <c r="H61" s="747"/>
      <c r="I61" s="747"/>
      <c r="J61" s="747"/>
      <c r="K61" s="747"/>
      <c r="L61" s="748"/>
      <c r="M61" s="123"/>
      <c r="N61" s="157" t="str">
        <f t="shared" si="26"/>
        <v>12k</v>
      </c>
      <c r="O61" s="143">
        <f t="shared" si="30"/>
        <v>0.03364673784159821</v>
      </c>
      <c r="P61" s="149">
        <f t="shared" si="27"/>
        <v>0.002803894819062231</v>
      </c>
      <c r="Q61" s="154">
        <f t="shared" si="28"/>
        <v>0.03101561691322787</v>
      </c>
      <c r="R61" s="146">
        <f t="shared" si="29"/>
        <v>0.002584634741781783</v>
      </c>
    </row>
    <row r="62" spans="2:19" ht="13.5" customHeight="1" thickBot="1">
      <c r="B62" s="100"/>
      <c r="C62" s="50"/>
      <c r="D62" s="50"/>
      <c r="E62" s="50"/>
      <c r="F62" s="50"/>
      <c r="G62" s="50"/>
      <c r="H62" s="50"/>
      <c r="I62" s="50"/>
      <c r="J62" s="50"/>
      <c r="K62" s="50"/>
      <c r="L62" s="77"/>
      <c r="M62" s="213">
        <f>(SUM(M49:M61)/60)*M66</f>
        <v>0.014710648148148152</v>
      </c>
      <c r="N62" s="157" t="str">
        <f t="shared" si="26"/>
        <v>15k</v>
      </c>
      <c r="O62" s="143">
        <f t="shared" si="30"/>
        <v>0.04262531271497033</v>
      </c>
      <c r="P62" s="149">
        <f t="shared" si="27"/>
        <v>0.0028416875132459673</v>
      </c>
      <c r="Q62" s="154">
        <f t="shared" si="28"/>
        <v>0.03929208163353003</v>
      </c>
      <c r="R62" s="146">
        <f t="shared" si="29"/>
        <v>0.0026194721079014893</v>
      </c>
      <c r="S62" s="471"/>
    </row>
    <row r="63" spans="2:18" ht="13.5" customHeight="1" thickBot="1">
      <c r="B63" s="787" t="s">
        <v>219</v>
      </c>
      <c r="C63" s="788"/>
      <c r="D63" s="788"/>
      <c r="E63" s="788"/>
      <c r="F63" s="779" t="s">
        <v>316</v>
      </c>
      <c r="G63" s="779"/>
      <c r="H63" s="779"/>
      <c r="I63" s="779"/>
      <c r="J63" s="779"/>
      <c r="K63" s="780"/>
      <c r="L63" s="339" t="b">
        <v>1</v>
      </c>
      <c r="M63" s="214">
        <f>(SUM(M49:M61)/60)*M66</f>
        <v>0.014710648148148152</v>
      </c>
      <c r="N63" s="157" t="str">
        <f t="shared" si="26"/>
        <v>10 Miles</v>
      </c>
      <c r="O63" s="143">
        <f t="shared" si="30"/>
        <v>0.0459260042715069</v>
      </c>
      <c r="P63" s="149">
        <f t="shared" si="27"/>
        <v>0.0028537096017983337</v>
      </c>
      <c r="Q63" s="154">
        <f t="shared" si="28"/>
        <v>0.0423346644047994</v>
      </c>
      <c r="R63" s="146">
        <f t="shared" si="29"/>
        <v>0.002630554088413018</v>
      </c>
    </row>
    <row r="64" spans="2:18" ht="13.5" customHeight="1" thickBot="1">
      <c r="B64" s="814" t="s">
        <v>163</v>
      </c>
      <c r="C64" s="815"/>
      <c r="D64" s="816"/>
      <c r="E64" s="359" t="s">
        <v>220</v>
      </c>
      <c r="F64" s="340" t="s">
        <v>221</v>
      </c>
      <c r="G64" s="340" t="s">
        <v>222</v>
      </c>
      <c r="H64" s="340" t="s">
        <v>223</v>
      </c>
      <c r="I64" s="340" t="s">
        <v>208</v>
      </c>
      <c r="J64" s="340" t="s">
        <v>209</v>
      </c>
      <c r="K64" s="340" t="s">
        <v>210</v>
      </c>
      <c r="L64" s="341" t="s">
        <v>211</v>
      </c>
      <c r="M64" s="215">
        <f>IF(COUNT(M49:M61)&gt;0,M62/M65,0)</f>
        <v>0.0029421296296296305</v>
      </c>
      <c r="N64" s="157" t="str">
        <f t="shared" si="26"/>
        <v>20k</v>
      </c>
      <c r="O64" s="143">
        <f t="shared" si="30"/>
        <v>0.05782326878472213</v>
      </c>
      <c r="P64" s="149">
        <f t="shared" si="27"/>
        <v>0.002891163438131821</v>
      </c>
      <c r="Q64" s="154">
        <f t="shared" si="28"/>
        <v>0.05330158191681508</v>
      </c>
      <c r="R64" s="146">
        <f t="shared" si="29"/>
        <v>0.002665079094822822</v>
      </c>
    </row>
    <row r="65" spans="2:22" ht="13.5" customHeight="1" thickBot="1">
      <c r="B65" s="690" t="s">
        <v>164</v>
      </c>
      <c r="C65" s="691"/>
      <c r="D65" s="692"/>
      <c r="E65" s="342" t="str">
        <f>IF($L$63,"1.6 k","Mile")</f>
        <v>1.6 k</v>
      </c>
      <c r="F65" s="342" t="s">
        <v>212</v>
      </c>
      <c r="G65" s="342" t="s">
        <v>213</v>
      </c>
      <c r="H65" s="342" t="s">
        <v>214</v>
      </c>
      <c r="I65" s="342" t="s">
        <v>215</v>
      </c>
      <c r="J65" s="342" t="s">
        <v>216</v>
      </c>
      <c r="K65" s="342" t="s">
        <v>217</v>
      </c>
      <c r="L65" s="343" t="s">
        <v>218</v>
      </c>
      <c r="M65" s="237">
        <f>COUNT(M49:M61)*M66</f>
        <v>5</v>
      </c>
      <c r="N65" s="157" t="str">
        <f t="shared" si="26"/>
        <v>1/2 Mar</v>
      </c>
      <c r="O65" s="143">
        <f t="shared" si="30"/>
        <v>0.06119212962962963</v>
      </c>
      <c r="P65" s="149">
        <f t="shared" si="27"/>
        <v>0.0029004454086469784</v>
      </c>
      <c r="Q65" s="154">
        <f t="shared" si="28"/>
        <v>0.05640700324745131</v>
      </c>
      <c r="R65" s="146">
        <f t="shared" si="29"/>
        <v>0.0026736352301323816</v>
      </c>
      <c r="U65" s="24"/>
      <c r="V65" s="24"/>
    </row>
    <row r="66" spans="2:23" ht="13.5" customHeight="1" thickBot="1">
      <c r="B66" s="693" t="str">
        <f>IF($L$63,"Pace / km","Pace / mile")</f>
        <v>Pace / km</v>
      </c>
      <c r="C66" s="694"/>
      <c r="D66" s="695"/>
      <c r="E66" s="344">
        <f>IF($L$63,$R$15,$R$14)</f>
        <v>0.002360794239400615</v>
      </c>
      <c r="F66" s="344" t="str">
        <f>IF($L$63,TEXT($Q$15,"m:ss")&amp;" - "&amp;TEXT($O$15,"m:ss"),TEXT($Q$14,"m:ss")&amp;" - "&amp;TEXT($O$14,"m:ss"))</f>
        <v>3:39 - 3:56</v>
      </c>
      <c r="G66" s="344" t="str">
        <f>IF($L$63,TEXT($O$15,"m:ss")&amp;" - "&amp;TEXT($M$15,"m:ss"),TEXT($O$14,"m:ss")&amp;" - "&amp;TEXT($M$14,"m:ss"))</f>
        <v>3:56 - 4:02</v>
      </c>
      <c r="H66" s="344" t="str">
        <f>IF($L$63,TEXT($N$15,"m:ss")&amp;" - "&amp;TEXT($L$15,"m:ss"),TEXT($N$14,"m:ss")&amp;" - "&amp;TEXT($L$14,"m:ss"))</f>
        <v>4:00 - 4:06</v>
      </c>
      <c r="I66" s="344" t="str">
        <f>IF($L$63,TEXT($M$15,"m:ss")&amp;" - "&amp;TEXT($K$15,"m:ss"),TEXT($M$14,"m:ss")&amp;" - "&amp;TEXT($K$14,"m:ss"))</f>
        <v>4:02 - 4:11</v>
      </c>
      <c r="J66" s="344" t="str">
        <f>IF($L$63,TEXT($K$15,"m:ss")&amp;" - "&amp;TEXT(($J$15+$K$15)/2,"m:ss"),TEXT($K$14,"m:ss")&amp;" - "&amp;TEXT(($J$14+$K$14)/2,"m:ss"))</f>
        <v>4:11 - 4:16</v>
      </c>
      <c r="K66" s="344" t="str">
        <f>TEXT(($J$14+"0:00:30")*IF($L$63,0.621371192,1),"m:ss")&amp;" - "&amp;TEXT(($J$14+"0:01:00")*IF($L$63,0.621371192,1),"m:ss")</f>
        <v>4:40 - 4:59</v>
      </c>
      <c r="L66" s="345" t="str">
        <f>TEXT(($J$14+"0:00:30")*IF($L$63,0.621371192,1),"m:ss")&amp;" - "&amp;TEXT(($J$14+"0:01:30")*IF($L$63,0.621371192,1),"m:ss")</f>
        <v>4:40 - 5:17</v>
      </c>
      <c r="M66" s="279">
        <v>1</v>
      </c>
      <c r="N66" s="157" t="str">
        <f t="shared" si="26"/>
        <v>25k</v>
      </c>
      <c r="O66" s="143">
        <f t="shared" si="30"/>
        <v>0.07325330989750085</v>
      </c>
      <c r="P66" s="149">
        <f t="shared" si="27"/>
        <v>0.0029301323947808645</v>
      </c>
      <c r="Q66" s="154">
        <f t="shared" si="28"/>
        <v>0.06752501856503694</v>
      </c>
      <c r="R66" s="146">
        <f t="shared" si="29"/>
        <v>0.002701000741569825</v>
      </c>
      <c r="U66" s="238"/>
      <c r="V66" s="24"/>
      <c r="W66" s="239"/>
    </row>
    <row r="67" spans="2:20" ht="13.5" customHeight="1" thickBot="1" thickTop="1">
      <c r="B67" s="785" t="s">
        <v>304</v>
      </c>
      <c r="C67" s="786"/>
      <c r="D67" s="786"/>
      <c r="E67" s="786"/>
      <c r="F67" s="786"/>
      <c r="G67" s="366" t="str">
        <f>IF($H$67,"Heart Rate","% HRmax")</f>
        <v>% HRmax</v>
      </c>
      <c r="H67" s="367" t="b">
        <v>0</v>
      </c>
      <c r="I67" s="363" t="str">
        <f>IF($H$67,TEXT(0.9*$E$3,0)&amp;" - "&amp;TEXT(0.85*$E$3,0),"90 - 85%")</f>
        <v>90 - 85%</v>
      </c>
      <c r="J67" s="363" t="str">
        <f>IF($H$67,TEXT(0.87*$E$3,0)&amp;" - "&amp;TEXT(0.83*$E$3,0),"87 - 83%")</f>
        <v>87 - 83%</v>
      </c>
      <c r="K67" s="364" t="str">
        <f>IF($H$67,TEXT(0.75*$E$3,0),"75%")</f>
        <v>75%</v>
      </c>
      <c r="L67" s="365" t="str">
        <f>IF($H$67,TEXT(0.7*$E$3,0),"70%")</f>
        <v>70%</v>
      </c>
      <c r="M67" s="361" t="s">
        <v>145</v>
      </c>
      <c r="N67" s="157" t="str">
        <f t="shared" si="26"/>
        <v>30k</v>
      </c>
      <c r="O67" s="143">
        <f t="shared" si="30"/>
        <v>0.08887085810100455</v>
      </c>
      <c r="P67" s="149">
        <f t="shared" si="27"/>
        <v>0.0029623619355686717</v>
      </c>
      <c r="Q67" s="154">
        <f t="shared" si="28"/>
        <v>0.08192129955025867</v>
      </c>
      <c r="R67" s="146">
        <f t="shared" si="29"/>
        <v>0.002730709983965622</v>
      </c>
      <c r="T67" s="238"/>
    </row>
    <row r="68" spans="2:18" ht="13.5" customHeight="1" thickBot="1">
      <c r="B68" s="782" t="s">
        <v>334</v>
      </c>
      <c r="C68" s="783"/>
      <c r="D68" s="783"/>
      <c r="E68" s="783"/>
      <c r="F68" s="783"/>
      <c r="G68" s="783"/>
      <c r="H68" s="783"/>
      <c r="I68" s="783"/>
      <c r="J68" s="783"/>
      <c r="K68" s="783"/>
      <c r="L68" s="784"/>
      <c r="M68" s="362" t="s">
        <v>171</v>
      </c>
      <c r="N68" s="157" t="str">
        <f t="shared" si="26"/>
        <v>Marathon</v>
      </c>
      <c r="O68" s="143">
        <f t="shared" si="30"/>
        <v>0.12758139994368076</v>
      </c>
      <c r="P68" s="149">
        <f t="shared" si="27"/>
        <v>0.0030236150297033096</v>
      </c>
      <c r="Q68" s="154">
        <f t="shared" si="28"/>
        <v>0.11760473911424385</v>
      </c>
      <c r="R68" s="146">
        <f t="shared" si="29"/>
        <v>0.0027871731843915797</v>
      </c>
    </row>
    <row r="69" spans="2:18" ht="13.5" customHeight="1" thickBot="1">
      <c r="B69" s="787" t="s">
        <v>282</v>
      </c>
      <c r="C69" s="788"/>
      <c r="D69" s="788"/>
      <c r="E69" s="788"/>
      <c r="F69" s="781" t="s">
        <v>317</v>
      </c>
      <c r="G69" s="781"/>
      <c r="H69" s="781"/>
      <c r="I69" s="781"/>
      <c r="J69" s="781"/>
      <c r="K69" s="781"/>
      <c r="L69" s="564" t="b">
        <v>1</v>
      </c>
      <c r="M69" s="167">
        <v>0.06131944444444445</v>
      </c>
      <c r="N69" s="157" t="str">
        <f t="shared" si="26"/>
        <v>50k</v>
      </c>
      <c r="O69" s="144">
        <f t="shared" si="30"/>
        <v>0.15272813487285739</v>
      </c>
      <c r="P69" s="150">
        <f t="shared" si="27"/>
        <v>0.0030545626962904518</v>
      </c>
      <c r="Q69" s="155">
        <f t="shared" si="28"/>
        <v>0.14078503970842418</v>
      </c>
      <c r="R69" s="147">
        <f t="shared" si="29"/>
        <v>0.0028157007930930214</v>
      </c>
    </row>
    <row r="70" spans="2:18" ht="13.5" customHeight="1" thickBot="1">
      <c r="B70" s="712" t="s">
        <v>283</v>
      </c>
      <c r="C70" s="713"/>
      <c r="D70" s="713"/>
      <c r="E70" s="714"/>
      <c r="F70" s="528" t="s">
        <v>284</v>
      </c>
      <c r="G70" s="528" t="s">
        <v>285</v>
      </c>
      <c r="H70" s="528" t="s">
        <v>286</v>
      </c>
      <c r="I70" s="528" t="s">
        <v>287</v>
      </c>
      <c r="J70" s="528" t="s">
        <v>288</v>
      </c>
      <c r="K70" s="528" t="s">
        <v>289</v>
      </c>
      <c r="L70" s="529" t="s">
        <v>290</v>
      </c>
      <c r="M70" s="168">
        <v>0.02039351851851852</v>
      </c>
      <c r="N70" s="797" t="s">
        <v>129</v>
      </c>
      <c r="O70" s="798"/>
      <c r="P70" s="159" t="b">
        <v>1</v>
      </c>
      <c r="Q70" s="960" t="s">
        <v>123</v>
      </c>
      <c r="R70" s="961"/>
    </row>
    <row r="71" spans="2:18" ht="13.5" customHeight="1" thickBot="1">
      <c r="B71" s="723" t="s">
        <v>291</v>
      </c>
      <c r="C71" s="724"/>
      <c r="D71" s="724"/>
      <c r="E71" s="725"/>
      <c r="F71" s="530" t="str">
        <f>IF($E$3,"&lt; "&amp;TEXT(IF($D$73,$F$73,$C$73)*0.85,0),"-")</f>
        <v>&lt; 130</v>
      </c>
      <c r="G71" s="530" t="str">
        <f>IF($E$3,TEXT(IF($D$73,$F$73,$C$73)*0.85,0)&amp;" - "&amp;TEXT(IF($D$73,$F$73,$C$73)*0.89,0),"-")</f>
        <v>130 - 136</v>
      </c>
      <c r="H71" s="530" t="str">
        <f>IF($E$3,TEXT(IF($D$73,$F$73,$C$73)*0.9,0)&amp;" - "&amp;TEXT(IF($D$73,$F$73,$C$73)*0.94,0),"-")</f>
        <v>138 - 144</v>
      </c>
      <c r="I71" s="530" t="str">
        <f>IF($E$3,TEXT(IF($D$73,$F$73,$C$73)*0.95,0)&amp;" - "&amp;TEXT(IF($D$73,$F$73,$C$73)*0.99,0),"-")</f>
        <v>145 - 151</v>
      </c>
      <c r="J71" s="530" t="str">
        <f>IF($E$3,TEXT(IF($D$73,$F$73,$C$73)*1,0)&amp;" - "&amp;TEXT(IF($D$73,$F$73,$C$73)*1.02,0),"-")</f>
        <v>153 - 156</v>
      </c>
      <c r="K71" s="530" t="str">
        <f>IF($E$3,TEXT(IF($D$73,$F$73,$C$73)*1.03,0)&amp;" - "&amp;TEXT(IF($D$73,$F$73,$C$73)*1.06,0),"-")</f>
        <v>158 - 162</v>
      </c>
      <c r="L71" s="531" t="str">
        <f>IF($E$3,"&gt; "&amp;TEXT(IF($D$73,$F$73,$C$73)*1.06,0),"-")</f>
        <v>&gt; 162</v>
      </c>
      <c r="M71" s="346">
        <f>M69-M70</f>
        <v>0.04092592592592593</v>
      </c>
      <c r="N71" s="161" t="s">
        <v>127</v>
      </c>
      <c r="O71" s="160" t="s">
        <v>128</v>
      </c>
      <c r="P71" s="162" t="s">
        <v>130</v>
      </c>
      <c r="Q71" s="962" t="s">
        <v>131</v>
      </c>
      <c r="R71" s="963"/>
    </row>
    <row r="72" spans="2:18" ht="13.5" customHeight="1" thickBot="1" thickTop="1">
      <c r="B72" s="705" t="str">
        <f>IF($L$69,"Zone Pace / km","Zone Pace / mile")</f>
        <v>Zone Pace / km</v>
      </c>
      <c r="C72" s="706"/>
      <c r="D72" s="706"/>
      <c r="E72" s="707"/>
      <c r="F72" s="344" t="str">
        <f>"&lt; "&amp;TEXT(IF($J$73,$L$73/60,$I$73)*1.29*IF(L69,0.621371192,1),"m:ss")</f>
        <v>&lt; 5:18</v>
      </c>
      <c r="G72" s="344" t="str">
        <f>TEXT(IF($J$73,$L$73/60,$I$73)*1.29*IF(L69,0.621371192,1),"m:ss")&amp;" - "&amp;TEXT(IF($J$73,$L$73/60,$I$73)*1.14*IF(L69,0.621371192,1),"m:ss")</f>
        <v>5:18 - 4:41</v>
      </c>
      <c r="H72" s="344" t="str">
        <f>TEXT(IF($J$73,$L$73/60,$I$73)*1.13*IF(L69,0.621371192,1),"m:ss")&amp;" - "&amp;TEXT(IF($J$73,$L$73/60,$I$73)*1.06*IF(L69,0.621371192,1),"m:ss")</f>
        <v>4:39 - 4:21</v>
      </c>
      <c r="I72" s="344" t="str">
        <f>TEXT(IF($J$73,$L$73/60,$I$73)*1.05*IF(L69,0.621371192,1),"m:ss")&amp;" - "&amp;TEXT(IF($J$73,$L$73/60,$I$73)*0.99*IF(L69,0.621371192,1),"m:ss")</f>
        <v>4:19 - 4:04</v>
      </c>
      <c r="J72" s="344" t="str">
        <f>TEXT(IF($J$73,$L$73/60,$I$73)*1*IF(L69,0.621371192,1),"m:ss")&amp;" - "&amp;TEXT(IF($J$73,$L$73/60,$I$73)*0.97*IF(L69,0.621371192,1),"m:ss")</f>
        <v>4:07 - 3:59</v>
      </c>
      <c r="K72" s="344" t="str">
        <f>TEXT(IF($J$73,$L$73/60,$I$73)*0.96*IF(L69,0.621371192,1),"m:ss")&amp;" - "&amp;TEXT(IF($J$73,$L$73/60,$I$73)*0.9*IF(L69,0.621371192,1),"m:ss")</f>
        <v>3:57 - 3:42</v>
      </c>
      <c r="L72" s="345" t="str">
        <f>"&gt; "&amp;TEXT(IF($J$73,$L$73/60,$I$73)*0.9*IF(L69,0.621371192,1),"m:ss")</f>
        <v>&gt; 3:42</v>
      </c>
      <c r="M72" s="50"/>
      <c r="N72" s="109"/>
      <c r="O72" s="50"/>
      <c r="P72" s="50"/>
      <c r="Q72" s="50"/>
      <c r="R72" s="347"/>
    </row>
    <row r="73" spans="2:18" ht="13.5" customHeight="1" thickBot="1" thickTop="1">
      <c r="B73" s="532" t="s">
        <v>292</v>
      </c>
      <c r="C73" s="533">
        <f>IF($E$3&lt;&gt;"",$E$3*0.9,"")</f>
        <v>153</v>
      </c>
      <c r="D73" s="708" t="b">
        <v>0</v>
      </c>
      <c r="E73" s="709"/>
      <c r="F73" s="561">
        <v>157</v>
      </c>
      <c r="G73" s="562"/>
      <c r="H73" s="560" t="s">
        <v>293</v>
      </c>
      <c r="I73" s="534">
        <f>+L6</f>
        <v>0.004592986449957078</v>
      </c>
      <c r="J73" s="708" t="b">
        <v>0</v>
      </c>
      <c r="K73" s="709"/>
      <c r="L73" s="559">
        <v>0.3020833333333333</v>
      </c>
      <c r="M73" s="809" t="s">
        <v>203</v>
      </c>
      <c r="N73" s="810"/>
      <c r="O73" s="811"/>
      <c r="P73" s="809" t="str">
        <f>"Peak Potential - "&amp;$E$6</f>
        <v>Peak Potential - 1/2 Mar</v>
      </c>
      <c r="Q73" s="810"/>
      <c r="R73" s="811"/>
    </row>
    <row r="74" spans="2:18" ht="13.5" customHeight="1" thickBot="1">
      <c r="B74" s="96"/>
      <c r="M74" s="838" t="str">
        <f>IF($C$4," Male ","Female ")&amp;IF(ISNUMBER($E$5),$E$5,"")</f>
        <v> Male 45</v>
      </c>
      <c r="N74" s="839"/>
      <c r="O74" s="936">
        <f>$G$6</f>
        <v>0.06119212962962963</v>
      </c>
      <c r="P74" s="306" t="str">
        <f>IF($C$4,"Male","Female")</f>
        <v>Male</v>
      </c>
      <c r="Q74" s="302" t="s">
        <v>172</v>
      </c>
      <c r="R74" s="304">
        <f>LOOKUP(ROUND($D$8,3),ROUND($W$136:$W$155,3),IF($C$4,$X$136:$X$155,$Y$136:$Y$155))</f>
        <v>0.041122685185185186</v>
      </c>
    </row>
    <row r="75" spans="2:18" ht="13.5" customHeight="1" thickBot="1">
      <c r="B75" s="700" t="str">
        <f>"Projected Adverse Impact of High Temperatures on "&amp;$E$6&amp;" Time (Daniels)"</f>
        <v>Projected Adverse Impact of High Temperatures on 1/2 Mar Time (Daniels)</v>
      </c>
      <c r="C75" s="701"/>
      <c r="D75" s="701"/>
      <c r="E75" s="701"/>
      <c r="F75" s="701"/>
      <c r="G75" s="701"/>
      <c r="H75" s="701"/>
      <c r="I75" s="701"/>
      <c r="J75" s="701"/>
      <c r="K75" s="702"/>
      <c r="L75" s="98" t="b">
        <v>1</v>
      </c>
      <c r="M75" s="966" t="str">
        <f>IF(O74=$G$6,"Entry Time","Manual Time")</f>
        <v>Entry Time</v>
      </c>
      <c r="N75" s="967"/>
      <c r="O75" s="937"/>
      <c r="P75" s="299">
        <f>IF($O$82="yes",ROUND((-4.6+0.182258*(F8/R75/1440)+0.000104*(F8/R75/1440)^2)/(0.8+0.1894393*EXP(-0.012778*R75*1440)+0.2989558*EXP(-0.1932605*R75*1440)),1),"")</f>
        <v>74.6</v>
      </c>
      <c r="Q75" s="298" t="str">
        <f ca="1">IF($O$82="yes","Age "&amp;DATEDIF($E$2,NOW(),"y")&amp;" Std:","")</f>
        <v>Age 45 Std:</v>
      </c>
      <c r="R75" s="305">
        <f ca="1">IF($O$82="yes",$R$74/LOOKUP(DATEDIF($E$2,NOW(),"y"),$AA$125:$AA$220,IF($C$4,$AB$125:$AB$220,$AC$125:$AC$220)),"")</f>
        <v>0.044920487828659164</v>
      </c>
    </row>
    <row r="76" spans="2:18" ht="13.5" customHeight="1" thickBot="1">
      <c r="B76" s="710" t="s">
        <v>74</v>
      </c>
      <c r="C76" s="711"/>
      <c r="D76" s="114" t="str">
        <f>IF($L$75,"16° c","60° f")</f>
        <v>16° c</v>
      </c>
      <c r="E76" s="90" t="str">
        <f>IF($L$75,"18° c","65° f")</f>
        <v>18° c</v>
      </c>
      <c r="F76" s="90" t="str">
        <f>IF($L$75,"21° c","70° f")</f>
        <v>21° c</v>
      </c>
      <c r="G76" s="90" t="str">
        <f>IF($L$75,"24° c","75° f")</f>
        <v>24° c</v>
      </c>
      <c r="H76" s="90" t="str">
        <f>IF($L$75,"27° c","80° f")</f>
        <v>27° c</v>
      </c>
      <c r="I76" s="90" t="str">
        <f>IF($L$75,"29° c","85° f")</f>
        <v>29° c</v>
      </c>
      <c r="J76" s="90" t="str">
        <f>IF($L$75,"32° c","90° f")</f>
        <v>32° c</v>
      </c>
      <c r="K76" s="90" t="str">
        <f>IF($L$75,"35° c","95° f")</f>
        <v>35° c</v>
      </c>
      <c r="L76" s="101" t="str">
        <f>IF($L$75,"38° c","100° f")</f>
        <v>38° c</v>
      </c>
      <c r="M76" s="799" t="s">
        <v>200</v>
      </c>
      <c r="N76" s="800"/>
      <c r="O76" s="801"/>
      <c r="P76" s="812" t="s">
        <v>175</v>
      </c>
      <c r="Q76" s="813"/>
      <c r="R76" s="411">
        <f>IF($O$82="Yes",$E$5,"Birthdate?")</f>
        <v>45</v>
      </c>
    </row>
    <row r="77" spans="2:18" ht="13.5" customHeight="1">
      <c r="B77" s="848" t="s">
        <v>60</v>
      </c>
      <c r="C77" s="849"/>
      <c r="D77" s="115">
        <f>IF(AND($E$6&gt;0,$G$6&gt;0),G6,"-")</f>
        <v>0.06119212962962963</v>
      </c>
      <c r="E77" s="91">
        <f>IF($D$77&lt;&gt;"-",$D$77*1.0075,"-")</f>
        <v>0.061651070601851855</v>
      </c>
      <c r="F77" s="91">
        <f>IF($D$77&lt;&gt;"-",$D$77*1.015,"-")</f>
        <v>0.06211001157407407</v>
      </c>
      <c r="G77" s="91">
        <f>IF($D$77&lt;&gt;"-",$D$77*1.0225,"-")</f>
        <v>0.0625689525462963</v>
      </c>
      <c r="H77" s="91">
        <f>IF($D$77&lt;&gt;"-",$D$77*1.03,"-")</f>
        <v>0.06302789351851852</v>
      </c>
      <c r="I77" s="91">
        <f>IF($D$77&lt;&gt;"-",$D$77*1.0375,"-")</f>
        <v>0.06348683449074075</v>
      </c>
      <c r="J77" s="91">
        <f>IF($D$77&lt;&gt;"-",$D$77*1.045,"-")</f>
        <v>0.06394577546296296</v>
      </c>
      <c r="K77" s="91">
        <f>IF($D$77&lt;&gt;"-",$D$77*1.0525,"-")</f>
        <v>0.06440471643518518</v>
      </c>
      <c r="L77" s="102">
        <f>IF($D$77&lt;&gt;"-",$D$77*1.06,"-")</f>
        <v>0.06486365740740742</v>
      </c>
      <c r="M77" s="96"/>
      <c r="N77" s="50"/>
      <c r="O77" s="59"/>
      <c r="P77" s="812" t="s">
        <v>176</v>
      </c>
      <c r="Q77" s="968"/>
      <c r="R77" s="412">
        <f>IF(AND($C$2&gt;0,$C$3&gt;0),IF($B$4,ROUND($C$3/($C$2/100)^2,1),ROUND($C$3/$C$2^2*703,1)),"Wght / Hght?")</f>
        <v>24.4</v>
      </c>
    </row>
    <row r="78" spans="2:18" ht="13.5" customHeight="1" thickBot="1">
      <c r="B78" s="850" t="str">
        <f>IF($L$75,"Adj Pace / km","Adj Pace / mile")</f>
        <v>Adj Pace / km</v>
      </c>
      <c r="C78" s="851"/>
      <c r="D78" s="116">
        <f aca="true" t="shared" si="31" ref="D78:L78">IF($D$77&lt;&gt;"-",D77/IF($L$75,$F$8/1000,$D$8),"-")</f>
        <v>0.0029004454097548093</v>
      </c>
      <c r="E78" s="92">
        <f t="shared" si="31"/>
        <v>0.0029221987503279703</v>
      </c>
      <c r="F78" s="92">
        <f t="shared" si="31"/>
        <v>0.0029439520909011314</v>
      </c>
      <c r="G78" s="92">
        <f t="shared" si="31"/>
        <v>0.0029657054314742924</v>
      </c>
      <c r="H78" s="92">
        <f t="shared" si="31"/>
        <v>0.0029874587720474534</v>
      </c>
      <c r="I78" s="92">
        <f t="shared" si="31"/>
        <v>0.0030092121126206145</v>
      </c>
      <c r="J78" s="92">
        <f t="shared" si="31"/>
        <v>0.003030965453193775</v>
      </c>
      <c r="K78" s="92">
        <f t="shared" si="31"/>
        <v>0.003052718793766936</v>
      </c>
      <c r="L78" s="103">
        <f t="shared" si="31"/>
        <v>0.003074472134340098</v>
      </c>
      <c r="M78" s="96"/>
      <c r="N78" s="50"/>
      <c r="O78" s="59"/>
      <c r="P78" s="964" t="str">
        <f>"current Age &amp; Wght "&amp;$C$3</f>
        <v>current Age &amp; Wght 68</v>
      </c>
      <c r="Q78" s="965"/>
      <c r="R78" s="268">
        <f>IF(AND($C$2&gt;0,$C$3&gt;0,$O$82="yes"),MAX($R$75*($P$75/($D$92*$P$75/$C$3))^0.83,$R$75),"?")</f>
        <v>0.056123414635151116</v>
      </c>
    </row>
    <row r="79" spans="2:18" ht="13.5" customHeight="1" thickBot="1" thickTop="1">
      <c r="B79" s="720" t="s">
        <v>61</v>
      </c>
      <c r="C79" s="721"/>
      <c r="D79" s="721"/>
      <c r="E79" s="721"/>
      <c r="F79" s="721"/>
      <c r="G79" s="721"/>
      <c r="H79" s="721"/>
      <c r="I79" s="721"/>
      <c r="J79" s="721"/>
      <c r="K79" s="721"/>
      <c r="L79" s="722"/>
      <c r="M79" s="809" t="s">
        <v>194</v>
      </c>
      <c r="N79" s="810"/>
      <c r="O79" s="811"/>
      <c r="P79" s="958" t="s">
        <v>192</v>
      </c>
      <c r="Q79" s="959"/>
      <c r="R79" s="410">
        <f>IF(AND($C$2&gt;0,$P$80&gt;0),IF($B$4,ROUND($P$80/($C$2/100)^2,1),ROUND($P$80/$C$2^2*703,1)),"")</f>
        <v>61</v>
      </c>
    </row>
    <row r="80" spans="2:18" ht="13.5" customHeight="1" thickBot="1">
      <c r="B80" s="100"/>
      <c r="C80" s="50"/>
      <c r="D80" s="50"/>
      <c r="E80" s="50"/>
      <c r="F80" s="50"/>
      <c r="G80" s="50"/>
      <c r="I80" s="50"/>
      <c r="J80" s="50"/>
      <c r="L80" s="77"/>
      <c r="M80" s="827" t="s">
        <v>195</v>
      </c>
      <c r="N80" s="828"/>
      <c r="O80" s="325">
        <f>IF($O$82="yes",$O$74-$O$81,0)</f>
        <v>0.005173488599537021</v>
      </c>
      <c r="P80" s="294">
        <v>170</v>
      </c>
      <c r="Q80" s="295" t="str">
        <f>IF($B$4," kg"," lbs")</f>
        <v> kg</v>
      </c>
      <c r="R80" s="288">
        <f>IF(AND($C$2&gt;0,$P$80&gt;0,$O$82="yes"),MAX($R$75*($P$75/($D$92*$P$75/$P$80))^0.83,$R$75),"?")</f>
        <v>0.1200699399699638</v>
      </c>
    </row>
    <row r="81" spans="2:18" ht="13.5" customHeight="1" thickBot="1" thickTop="1">
      <c r="B81" s="717" t="str">
        <f>"Projected Impact of Weight on "&amp;$E$6&amp;" Time (Daniels)"</f>
        <v>Projected Impact of Weight on 1/2 Mar Time (Daniels)</v>
      </c>
      <c r="C81" s="718"/>
      <c r="D81" s="718"/>
      <c r="E81" s="718"/>
      <c r="F81" s="718"/>
      <c r="G81" s="718"/>
      <c r="H81" s="718"/>
      <c r="I81" s="718"/>
      <c r="J81" s="718"/>
      <c r="K81" s="718"/>
      <c r="L81" s="719"/>
      <c r="M81" s="870" t="s">
        <v>193</v>
      </c>
      <c r="N81" s="871"/>
      <c r="O81" s="324">
        <f>IF($O$82="yes",($O$74*LOOKUP($E$5,$AA$125:$AA$220,IF($C$4,$AB$125:$AB$220,$AC$125:$AC$220))/LOOKUP(25,$AA$125:$AA$220,IF($Q$49,$AB$125:$AB$220,$AC$125:$AC$220))),0)</f>
        <v>0.05601864103009261</v>
      </c>
      <c r="R81" s="59"/>
    </row>
    <row r="82" spans="2:18" ht="13.5" customHeight="1" thickBot="1" thickTop="1">
      <c r="B82" s="698" t="str">
        <f>IF($C$4,"Male","Female")</f>
        <v>Male</v>
      </c>
      <c r="C82" s="699"/>
      <c r="D82" s="258" t="s">
        <v>181</v>
      </c>
      <c r="E82" s="259">
        <f>$E$5</f>
        <v>45</v>
      </c>
      <c r="F82" s="715" t="str">
        <f>IF($B$4,"Height (cm):","Height (in):")</f>
        <v>Height (cm):</v>
      </c>
      <c r="G82" s="716" t="str">
        <f>IF($B$4,"Height (cm):","Height (in):")</f>
        <v>Height (cm):</v>
      </c>
      <c r="H82" s="260">
        <f>$C$2</f>
        <v>167</v>
      </c>
      <c r="I82" s="703" t="str">
        <f>"Weight"&amp;IF($B$4," (kg):"," (lb):")</f>
        <v>Weight (kg):</v>
      </c>
      <c r="J82" s="704" t="str">
        <f>"Weight"&amp;IF($B$4," (kg):"," (lb):")</f>
        <v>Weight (kg):</v>
      </c>
      <c r="K82" s="261">
        <f>$C$3</f>
        <v>68</v>
      </c>
      <c r="L82" s="266" t="b">
        <v>1</v>
      </c>
      <c r="M82" s="96"/>
      <c r="N82" s="406" t="s">
        <v>244</v>
      </c>
      <c r="O82" s="407" t="str">
        <f ca="1">IF(AND(DATEDIF($E$2,NOW(),"y")&gt;=5,DATEDIF($E$2,NOW(),"y")&lt;=100),"Yes","No")</f>
        <v>Yes</v>
      </c>
      <c r="P82" s="809" t="s">
        <v>182</v>
      </c>
      <c r="Q82" s="810"/>
      <c r="R82" s="811"/>
    </row>
    <row r="83" spans="2:18" ht="13.5" customHeight="1" thickBot="1" thickTop="1">
      <c r="B83" s="696" t="s">
        <v>85</v>
      </c>
      <c r="C83" s="697"/>
      <c r="D83" s="118">
        <f>$C$3+($C$3*$L$87*2)</f>
        <v>69.36</v>
      </c>
      <c r="E83" s="118">
        <f>$C$3+($C$3*$L$87*1)</f>
        <v>68.68</v>
      </c>
      <c r="F83" s="119">
        <f>$C$3-($C$3*$L$87*0)</f>
        <v>68</v>
      </c>
      <c r="G83" s="118">
        <f>$C$3-($C$3*$L$87*1)</f>
        <v>67.32</v>
      </c>
      <c r="H83" s="118">
        <f>$C$3-($C$3*$L$87*2)</f>
        <v>66.64</v>
      </c>
      <c r="I83" s="118">
        <f>$C$3-($C$3*$L$87*3)</f>
        <v>65.96</v>
      </c>
      <c r="J83" s="118">
        <f>$C$3-($C$3*$L$87*4)</f>
        <v>65.28</v>
      </c>
      <c r="K83" s="118">
        <f>$C$3-($C$3*$L$87*5)</f>
        <v>64.6</v>
      </c>
      <c r="L83" s="120">
        <f>$C$3-($C$3*$L$87*6)</f>
        <v>63.92</v>
      </c>
      <c r="M83" s="881" t="s">
        <v>202</v>
      </c>
      <c r="N83" s="810"/>
      <c r="O83" s="811"/>
      <c r="P83" s="309" t="str">
        <f>IF(R85,"Kilometers","Miles")</f>
        <v>Kilometers</v>
      </c>
      <c r="Q83" s="128" t="s">
        <v>47</v>
      </c>
      <c r="R83" s="232" t="s">
        <v>116</v>
      </c>
    </row>
    <row r="84" spans="2:18" ht="13.5" customHeight="1" thickBot="1">
      <c r="B84" s="928" t="s">
        <v>72</v>
      </c>
      <c r="C84" s="929"/>
      <c r="D84" s="93">
        <f>IF(AND(D83&gt;0,$I$6&lt;&gt;"-"),$C$3*$I$6/D83,"-")</f>
        <v>51.1764705882353</v>
      </c>
      <c r="E84" s="93">
        <f>IF(AND(E83&gt;0,$I$6&lt;&gt;"-"),$C$3*$I$6/E83,"-")</f>
        <v>51.68316831683168</v>
      </c>
      <c r="F84" s="112">
        <f>IF(AND(F83&gt;0,$I$6&lt;&gt;"-"),$C$3*$I$6/F83,"-")</f>
        <v>52.2</v>
      </c>
      <c r="G84" s="93">
        <f aca="true" t="shared" si="32" ref="G84:L84">IF(ROUND(G83,0)&gt;=$D$92,IF(AND(G83&gt;0,$I$6&lt;&gt;"-"),$C$3*$I$6/G83,"-"),"too thin")</f>
        <v>52.72727272727274</v>
      </c>
      <c r="H84" s="93">
        <f t="shared" si="32"/>
        <v>53.26530612244898</v>
      </c>
      <c r="I84" s="93">
        <f t="shared" si="32"/>
        <v>53.81443298969073</v>
      </c>
      <c r="J84" s="93">
        <f t="shared" si="32"/>
        <v>54.37500000000001</v>
      </c>
      <c r="K84" s="93">
        <f t="shared" si="32"/>
        <v>54.947368421052644</v>
      </c>
      <c r="L84" s="104">
        <f t="shared" si="32"/>
        <v>55.53191489361703</v>
      </c>
      <c r="M84" s="924">
        <f>IF($C$3&gt;0,$C$3,"Current Weight?")</f>
        <v>68</v>
      </c>
      <c r="N84" s="925"/>
      <c r="O84" s="831">
        <f>IF(AND($N$85&gt;0,$N$86&gt;0,$N$86&lt;&gt;""),ABS($O$74-$O$74*($I$6/$N$86)^0.83),0)</f>
        <v>0.06972177464771462</v>
      </c>
      <c r="P84" s="310">
        <v>9.87</v>
      </c>
      <c r="Q84" s="129">
        <v>0.027245370370370368</v>
      </c>
      <c r="R84" s="233">
        <f>0.8+0.1894393*EXP(-0.012778*Q84*1440)+0.2989558*EXP(-0.1932605*Q84*1440)</f>
        <v>0.9149010608789386</v>
      </c>
    </row>
    <row r="85" spans="2:18" ht="13.5" customHeight="1" thickBot="1">
      <c r="B85" s="879" t="s">
        <v>73</v>
      </c>
      <c r="C85" s="880"/>
      <c r="D85" s="94">
        <f aca="true" t="shared" si="33" ref="D85:L85">IF(AND(D83&gt;0,$E$6&lt;&gt;"",D84&lt;&gt;"too thin"),$G$6*($I$6/D84)^0.83,"-")</f>
        <v>0.06220620546463522</v>
      </c>
      <c r="E85" s="94">
        <f t="shared" si="33"/>
        <v>0.06169959426967547</v>
      </c>
      <c r="F85" s="413">
        <f t="shared" si="33"/>
        <v>0.06119212962962963</v>
      </c>
      <c r="G85" s="94">
        <f t="shared" si="33"/>
        <v>0.060683801550366075</v>
      </c>
      <c r="H85" s="94">
        <f t="shared" si="33"/>
        <v>0.060174599818490965</v>
      </c>
      <c r="I85" s="94">
        <f t="shared" si="33"/>
        <v>0.05966451399424904</v>
      </c>
      <c r="J85" s="94">
        <f t="shared" si="33"/>
        <v>0.05915353340411922</v>
      </c>
      <c r="K85" s="94">
        <f t="shared" si="33"/>
        <v>0.05864164713308796</v>
      </c>
      <c r="L85" s="348">
        <f t="shared" si="33"/>
        <v>0.05812884401658337</v>
      </c>
      <c r="M85" s="297" t="s">
        <v>201</v>
      </c>
      <c r="N85" s="300">
        <v>170</v>
      </c>
      <c r="O85" s="832"/>
      <c r="P85" s="829">
        <f>ROUND((-4.6+0.182258*((P84*IF(R85,1000,1))/Q84/1440*(IF(R85,1,1609.344)))+0.000104*((P84*IF(R85,1000,1))/Q84/1440*(IF(R85,1,1609.344)))^2)/R84,1)</f>
        <v>52.3</v>
      </c>
      <c r="Q85" s="830"/>
      <c r="R85" s="319" t="b">
        <v>1</v>
      </c>
    </row>
    <row r="86" spans="2:18" ht="13.5" customHeight="1" thickBot="1" thickTop="1">
      <c r="B86" s="877" t="str">
        <f>IF($L$82,"Est Pace / km","Est Pace / mile")</f>
        <v>Est Pace / km</v>
      </c>
      <c r="C86" s="878"/>
      <c r="D86" s="117">
        <f aca="true" t="shared" si="34" ref="D86:L86">IF(D85&lt;&gt;"-",D85/IF($L$82,$F$8/1000,$D$8),"-")</f>
        <v>0.0029485115845813356</v>
      </c>
      <c r="E86" s="117">
        <f t="shared" si="34"/>
        <v>0.0029244987233875016</v>
      </c>
      <c r="F86" s="113">
        <f t="shared" si="34"/>
        <v>0.0029004454097548093</v>
      </c>
      <c r="G86" s="117">
        <f t="shared" si="34"/>
        <v>0.00287635116997147</v>
      </c>
      <c r="H86" s="117">
        <f t="shared" si="34"/>
        <v>0.002852215519932887</v>
      </c>
      <c r="I86" s="117">
        <f t="shared" si="34"/>
        <v>0.0028280379648051583</v>
      </c>
      <c r="J86" s="117">
        <f t="shared" si="34"/>
        <v>0.0028038179986741183</v>
      </c>
      <c r="K86" s="117">
        <f t="shared" si="34"/>
        <v>0.002779555104179101</v>
      </c>
      <c r="L86" s="349">
        <f t="shared" si="34"/>
        <v>0.002755248752130626</v>
      </c>
      <c r="M86" s="303">
        <f>IF(AND($C$2&gt;0,$N$85&gt;0),IF($B$4,ROUND($N$85/($C$2/100)^2,1),ROUND($N$85/$C$2^2*703,1)),"")</f>
        <v>61</v>
      </c>
      <c r="N86" s="327">
        <f>IF(AND($C$2&gt;0,$N$85&gt;0),MIN($C$3*$I$6/$N$85,$C$3*$I$6/$D$92),"")</f>
        <v>20.880000000000003</v>
      </c>
      <c r="O86" s="833"/>
      <c r="P86" s="824" t="s">
        <v>230</v>
      </c>
      <c r="Q86" s="825"/>
      <c r="R86" s="826"/>
    </row>
    <row r="87" spans="2:18" ht="13.5" customHeight="1" thickBot="1" thickTop="1">
      <c r="B87" s="846" t="s">
        <v>79</v>
      </c>
      <c r="C87" s="847"/>
      <c r="D87" s="847"/>
      <c r="E87" s="847"/>
      <c r="F87" s="847"/>
      <c r="G87" s="847"/>
      <c r="H87" s="847"/>
      <c r="I87" s="847"/>
      <c r="J87" s="876" t="s">
        <v>64</v>
      </c>
      <c r="K87" s="876"/>
      <c r="L87" s="350">
        <v>0.01</v>
      </c>
      <c r="M87" s="872" t="s">
        <v>60</v>
      </c>
      <c r="N87" s="873"/>
      <c r="O87" s="320">
        <f>IF($N$85&lt;$M$84,$O$74-$O$84,$O$74+$O$84)</f>
        <v>0.13091390427734426</v>
      </c>
      <c r="P87" s="809" t="s">
        <v>121</v>
      </c>
      <c r="Q87" s="810"/>
      <c r="R87" s="811"/>
    </row>
    <row r="88" spans="2:18" ht="13.5" customHeight="1" thickBot="1">
      <c r="B88" s="96"/>
      <c r="C88" s="56"/>
      <c r="D88" s="50"/>
      <c r="E88" s="50"/>
      <c r="F88" s="50"/>
      <c r="G88" s="50"/>
      <c r="H88" s="50"/>
      <c r="I88" s="50"/>
      <c r="J88" s="50"/>
      <c r="K88" s="50"/>
      <c r="L88" s="351"/>
      <c r="M88" s="96"/>
      <c r="N88" s="50"/>
      <c r="O88" s="354"/>
      <c r="P88" s="311" t="s">
        <v>133</v>
      </c>
      <c r="Q88" s="128" t="s">
        <v>47</v>
      </c>
      <c r="R88" s="234" t="s">
        <v>48</v>
      </c>
    </row>
    <row r="89" spans="2:18" ht="13.5" customHeight="1" thickBot="1" thickTop="1">
      <c r="B89" s="700" t="s">
        <v>93</v>
      </c>
      <c r="C89" s="701"/>
      <c r="D89" s="701"/>
      <c r="E89" s="701"/>
      <c r="F89" s="701"/>
      <c r="G89" s="263" t="str">
        <f>IF($C$4,"Male","Female")</f>
        <v>Male</v>
      </c>
      <c r="H89" s="264" t="str">
        <f>IF(ISNUMBER($E$5),"Age  "&amp;$E$5,"Birthdate?")</f>
        <v>Age  45</v>
      </c>
      <c r="I89" s="264" t="str">
        <f>"Hgt  "&amp;$C$2</f>
        <v>Hgt  167</v>
      </c>
      <c r="J89" s="269" t="str">
        <f>"Wgt  "&amp;$C$3</f>
        <v>Wgt  68</v>
      </c>
      <c r="K89" s="844" t="str">
        <f>"Current BMI = "&amp;IF($B$4,ROUND($C$3/($C$2/100)^2,1),ROUND($C$3/$C$2^2*703,1))</f>
        <v>Current BMI = 24,4</v>
      </c>
      <c r="L89" s="845"/>
      <c r="M89" s="881" t="s">
        <v>74</v>
      </c>
      <c r="N89" s="810"/>
      <c r="O89" s="811"/>
      <c r="P89" s="310">
        <v>26.2188</v>
      </c>
      <c r="Q89" s="129">
        <v>0.1540277777777778</v>
      </c>
      <c r="R89" s="235">
        <f>Q89/P89</f>
        <v>0.005874707377064465</v>
      </c>
    </row>
    <row r="90" spans="2:18" ht="13.5" customHeight="1" thickBot="1">
      <c r="B90" s="216" t="s">
        <v>104</v>
      </c>
      <c r="C90" s="217" t="s">
        <v>101</v>
      </c>
      <c r="D90" s="108">
        <v>18.5</v>
      </c>
      <c r="E90" s="108">
        <v>19</v>
      </c>
      <c r="F90" s="108">
        <v>20</v>
      </c>
      <c r="G90" s="108">
        <v>21</v>
      </c>
      <c r="H90" s="108">
        <v>22</v>
      </c>
      <c r="I90" s="108">
        <v>23</v>
      </c>
      <c r="J90" s="108">
        <v>24</v>
      </c>
      <c r="K90" s="108">
        <v>25</v>
      </c>
      <c r="L90" s="352" t="s">
        <v>100</v>
      </c>
      <c r="M90" s="301" t="str">
        <f>IF($B$4,"Temp °C","Temp °F")</f>
        <v>Temp °C</v>
      </c>
      <c r="N90" s="267">
        <v>70</v>
      </c>
      <c r="O90" s="326">
        <f>IF($B$4,MAX($O$74*(($N$90-16)*0.002727),0),MAX($O$74*(($N$90-60)*0.0015),0))</f>
        <v>0.009011030625</v>
      </c>
      <c r="P90" s="311" t="s">
        <v>152</v>
      </c>
      <c r="Q90" s="128" t="s">
        <v>47</v>
      </c>
      <c r="R90" s="234" t="s">
        <v>48</v>
      </c>
    </row>
    <row r="91" spans="2:18" ht="13.5" customHeight="1" thickBot="1">
      <c r="B91" s="218" t="str">
        <f>"for "&amp;IF($B$4,ROUND($C$2,0)&amp;" cm",INT($C$2/12)&amp;" ft "&amp;ROUND((($C$2/12)-INT($C$2/12))*12,1)&amp;" in")</f>
        <v>for 167 cm</v>
      </c>
      <c r="C91" s="219" t="s">
        <v>102</v>
      </c>
      <c r="D91" s="111" t="str">
        <f aca="true" t="shared" si="35" ref="D91:K91">IF($B$4,ROUND(D90*($C$2/100)^2,0)&amp;" kg",ROUND(D90/703*$C$2^2,0)&amp;" lb")</f>
        <v>52 kg</v>
      </c>
      <c r="E91" s="111" t="str">
        <f t="shared" si="35"/>
        <v>53 kg</v>
      </c>
      <c r="F91" s="111" t="str">
        <f t="shared" si="35"/>
        <v>56 kg</v>
      </c>
      <c r="G91" s="111" t="str">
        <f t="shared" si="35"/>
        <v>59 kg</v>
      </c>
      <c r="H91" s="111" t="str">
        <f t="shared" si="35"/>
        <v>61 kg</v>
      </c>
      <c r="I91" s="111" t="str">
        <f t="shared" si="35"/>
        <v>64 kg</v>
      </c>
      <c r="J91" s="111" t="str">
        <f t="shared" si="35"/>
        <v>67 kg</v>
      </c>
      <c r="K91" s="111" t="str">
        <f t="shared" si="35"/>
        <v>70 kg</v>
      </c>
      <c r="L91" s="353" t="s">
        <v>103</v>
      </c>
      <c r="M91" s="882" t="s">
        <v>60</v>
      </c>
      <c r="N91" s="883"/>
      <c r="O91" s="307">
        <f>IF($N$92,$O$74+$O$90,$O$74-$O$90)</f>
        <v>0.05218109900462963</v>
      </c>
      <c r="P91" s="316">
        <v>21.097</v>
      </c>
      <c r="Q91" s="317">
        <v>0.06041666666666667</v>
      </c>
      <c r="R91" s="318">
        <f>Q91/P91</f>
        <v>0.0028637563002638605</v>
      </c>
    </row>
    <row r="92" spans="2:18" ht="13.5" customHeight="1" thickBot="1" thickTop="1">
      <c r="B92" s="96"/>
      <c r="D92" s="287">
        <f aca="true" t="shared" si="36" ref="D92:K92">IF($B$4,ROUND(D90*($C$2/100)^2,0),ROUND(D90/703*$C$2^2,0))</f>
        <v>52</v>
      </c>
      <c r="E92" s="287">
        <f t="shared" si="36"/>
        <v>53</v>
      </c>
      <c r="F92" s="287">
        <f t="shared" si="36"/>
        <v>56</v>
      </c>
      <c r="G92" s="287">
        <f t="shared" si="36"/>
        <v>59</v>
      </c>
      <c r="H92" s="287">
        <f t="shared" si="36"/>
        <v>61</v>
      </c>
      <c r="I92" s="287">
        <f t="shared" si="36"/>
        <v>64</v>
      </c>
      <c r="J92" s="287">
        <f t="shared" si="36"/>
        <v>67</v>
      </c>
      <c r="K92" s="287">
        <f t="shared" si="36"/>
        <v>70</v>
      </c>
      <c r="M92" s="321"/>
      <c r="N92" s="322" t="b">
        <v>0</v>
      </c>
      <c r="O92" s="323"/>
      <c r="P92" s="809" t="s">
        <v>150</v>
      </c>
      <c r="Q92" s="810"/>
      <c r="R92" s="811"/>
    </row>
    <row r="93" spans="2:18" ht="13.5" customHeight="1" thickBot="1">
      <c r="B93" s="854" t="s">
        <v>112</v>
      </c>
      <c r="C93" s="855"/>
      <c r="D93" s="855"/>
      <c r="E93" s="855"/>
      <c r="F93" s="856"/>
      <c r="G93" s="857" t="s">
        <v>99</v>
      </c>
      <c r="H93" s="858"/>
      <c r="I93" s="842" t="s">
        <v>90</v>
      </c>
      <c r="J93" s="858"/>
      <c r="K93" s="842" t="s">
        <v>89</v>
      </c>
      <c r="L93" s="843"/>
      <c r="M93" s="96"/>
      <c r="N93" s="50"/>
      <c r="O93" s="59"/>
      <c r="P93" s="311" t="s">
        <v>133</v>
      </c>
      <c r="Q93" s="128" t="s">
        <v>151</v>
      </c>
      <c r="R93" s="234" t="s">
        <v>47</v>
      </c>
    </row>
    <row r="94" spans="2:18" ht="13.5" customHeight="1" thickBot="1" thickTop="1">
      <c r="B94" s="859" t="str">
        <f>"   based on a height of "&amp;IF($B$4,ROUND($C$2,3)&amp;" cm",INT($C$2/12)&amp;" ft "&amp;ROUND((($C$2/12)-INT($C$2/12))*12,1)&amp;" in")</f>
        <v>   based on a height of 167 cm</v>
      </c>
      <c r="C94" s="860"/>
      <c r="D94" s="860"/>
      <c r="E94" s="860"/>
      <c r="F94" s="861"/>
      <c r="G94" s="862" t="s">
        <v>88</v>
      </c>
      <c r="H94" s="863"/>
      <c r="I94" s="874" t="s">
        <v>91</v>
      </c>
      <c r="J94" s="875"/>
      <c r="K94" s="874" t="s">
        <v>92</v>
      </c>
      <c r="L94" s="945"/>
      <c r="M94" s="881" t="s">
        <v>199</v>
      </c>
      <c r="N94" s="810"/>
      <c r="O94" s="811"/>
      <c r="P94" s="312">
        <v>26.2</v>
      </c>
      <c r="Q94" s="187">
        <v>0.3576388888888889</v>
      </c>
      <c r="R94" s="236">
        <f>(Q94*P94)/60</f>
        <v>0.15616898148148148</v>
      </c>
    </row>
    <row r="95" spans="2:18" ht="13.5" customHeight="1">
      <c r="B95" s="864">
        <f>IF($B$4,IF($C$2&lt;152.4,"** Under the minum height **",""),IF($C$2&lt;60,"**Under the minimum height **",""))</f>
      </c>
      <c r="C95" s="865"/>
      <c r="D95" s="865"/>
      <c r="E95" s="865"/>
      <c r="F95" s="106" t="s">
        <v>86</v>
      </c>
      <c r="G95" s="900">
        <f>IF($B$4,IF($C$2&gt;=152.4,49.895+(($C$2-152.4)/2.5)*2.495,0),IF($C$2&gt;=60,110+($C$2-60)*5.5,0))</f>
        <v>64.4658</v>
      </c>
      <c r="H95" s="901"/>
      <c r="I95" s="898">
        <f>G95*0.88</f>
        <v>56.729904000000005</v>
      </c>
      <c r="J95" s="899"/>
      <c r="K95" s="898">
        <f>G95*0.85</f>
        <v>54.79593</v>
      </c>
      <c r="L95" s="969"/>
      <c r="M95" s="836" t="b">
        <v>1</v>
      </c>
      <c r="N95" s="837" t="b">
        <v>1</v>
      </c>
      <c r="O95" s="326">
        <f>IF($M$95,$O$80,0)</f>
        <v>0.005173488599537021</v>
      </c>
      <c r="P95" s="311" t="s">
        <v>152</v>
      </c>
      <c r="Q95" s="128" t="s">
        <v>153</v>
      </c>
      <c r="R95" s="234" t="s">
        <v>47</v>
      </c>
    </row>
    <row r="96" spans="2:18" ht="13.5" customHeight="1" thickBot="1">
      <c r="B96" s="867" t="str">
        <f>IF($B$4,"(Minimum height is 152.4 cm)","(Minimum height is 60 inches)")</f>
        <v>(Minimum height is 152.4 cm)</v>
      </c>
      <c r="C96" s="868"/>
      <c r="D96" s="868"/>
      <c r="E96" s="869"/>
      <c r="F96" s="107" t="s">
        <v>87</v>
      </c>
      <c r="G96" s="910">
        <f>IF($B$4,IF($C$2&gt;=152.4,45.355+(($C$2-152.4)/2.5)*2.268,0),IF($C$2&gt;=60,100+($C$2-60)*5,0))</f>
        <v>58.60011999999999</v>
      </c>
      <c r="H96" s="908"/>
      <c r="I96" s="908">
        <f>G96*0.88</f>
        <v>51.56810559999999</v>
      </c>
      <c r="J96" s="908"/>
      <c r="K96" s="908">
        <f>G96*0.85</f>
        <v>49.81010199999999</v>
      </c>
      <c r="L96" s="909"/>
      <c r="M96" s="836" t="b">
        <v>1</v>
      </c>
      <c r="N96" s="837" t="b">
        <v>1</v>
      </c>
      <c r="O96" s="326">
        <f>IF($M$96,$O$84,0)</f>
        <v>0.06972177464771462</v>
      </c>
      <c r="P96" s="313">
        <v>42.195</v>
      </c>
      <c r="Q96" s="314">
        <v>0.18958333333333333</v>
      </c>
      <c r="R96" s="315">
        <f>(Q96*P96)/60</f>
        <v>0.13332447916666668</v>
      </c>
    </row>
    <row r="97" spans="2:18" ht="13.5" customHeight="1" thickBot="1" thickTop="1">
      <c r="B97" s="96"/>
      <c r="C97" s="56"/>
      <c r="D97" s="50"/>
      <c r="E97" s="50"/>
      <c r="F97" s="50"/>
      <c r="G97" s="50"/>
      <c r="H97" s="50"/>
      <c r="I97" s="50"/>
      <c r="J97" s="50"/>
      <c r="K97" s="50"/>
      <c r="L97" s="50"/>
      <c r="M97" s="834" t="b">
        <v>1</v>
      </c>
      <c r="N97" s="835" t="b">
        <v>1</v>
      </c>
      <c r="O97" s="326">
        <f>IF($M$97,$O$90,0)</f>
        <v>0.009011030625</v>
      </c>
      <c r="P97" s="819" t="s">
        <v>108</v>
      </c>
      <c r="Q97" s="820"/>
      <c r="R97" s="821"/>
    </row>
    <row r="98" spans="2:18" ht="13.5" customHeight="1" thickBot="1">
      <c r="B98" s="700" t="s">
        <v>167</v>
      </c>
      <c r="C98" s="701"/>
      <c r="D98" s="701"/>
      <c r="E98" s="701"/>
      <c r="F98" s="701"/>
      <c r="G98" s="701"/>
      <c r="H98" s="701"/>
      <c r="I98" s="701"/>
      <c r="J98" s="701"/>
      <c r="K98" s="701"/>
      <c r="L98" s="701"/>
      <c r="M98" s="872" t="s">
        <v>60</v>
      </c>
      <c r="N98" s="873"/>
      <c r="O98" s="320">
        <f>$O$74-$O$95+IF($N$85&lt;$M$84,-$O$96,$O$96)+IF($N$92,$O$97,-$O$97)</f>
        <v>0.11672938505280722</v>
      </c>
      <c r="P98" s="679" t="s">
        <v>109</v>
      </c>
      <c r="Q98" s="680"/>
      <c r="R98" s="681"/>
    </row>
    <row r="99" spans="2:18" ht="13.5" customHeight="1" thickBot="1">
      <c r="B99" s="720"/>
      <c r="C99" s="721"/>
      <c r="D99" s="944"/>
      <c r="E99" s="913" t="str">
        <f>"Weight in "&amp;IF($B$4,"kg","lbs")</f>
        <v>Weight in kg</v>
      </c>
      <c r="F99" s="866"/>
      <c r="G99" s="866" t="s">
        <v>95</v>
      </c>
      <c r="H99" s="866"/>
      <c r="I99" s="911" t="s">
        <v>94</v>
      </c>
      <c r="J99" s="912"/>
      <c r="K99" s="110"/>
      <c r="L99" s="540"/>
      <c r="P99" s="375">
        <v>3.1</v>
      </c>
      <c r="Q99" s="822">
        <f>P99*1.609344</f>
        <v>4.988966400000001</v>
      </c>
      <c r="R99" s="823"/>
    </row>
    <row r="100" spans="2:18" ht="13.5" customHeight="1">
      <c r="B100" s="941" t="s">
        <v>187</v>
      </c>
      <c r="C100" s="942"/>
      <c r="D100" s="943"/>
      <c r="E100" s="946">
        <f>IF($B$4,62,136)</f>
        <v>62</v>
      </c>
      <c r="F100" s="947"/>
      <c r="G100" s="663">
        <v>82</v>
      </c>
      <c r="H100" s="663"/>
      <c r="I100" s="852">
        <f>E100*IF($B$4,1,0.45359237)*G100/1000</f>
        <v>5.084</v>
      </c>
      <c r="J100" s="853"/>
      <c r="K100" s="124"/>
      <c r="L100" s="541"/>
      <c r="N100" s="58"/>
      <c r="O100" s="58"/>
      <c r="P100" s="376">
        <v>0.4166666666666667</v>
      </c>
      <c r="Q100" s="840">
        <f>P100/1.609344/60</f>
        <v>0.004315077723870375</v>
      </c>
      <c r="R100" s="841"/>
    </row>
    <row r="101" spans="2:18" ht="13.5" customHeight="1">
      <c r="B101" s="938" t="str">
        <f>"Entry Weight &amp; VDOT"</f>
        <v>Entry Weight &amp; VDOT</v>
      </c>
      <c r="C101" s="939"/>
      <c r="D101" s="940"/>
      <c r="E101" s="948">
        <f>$C$3</f>
        <v>68</v>
      </c>
      <c r="F101" s="949"/>
      <c r="G101" s="662">
        <f>$I$6</f>
        <v>52.2</v>
      </c>
      <c r="H101" s="662"/>
      <c r="I101" s="931">
        <f>E101*IF($B$4,1,0.45359237)*G101/1000</f>
        <v>3.5496000000000003</v>
      </c>
      <c r="J101" s="932"/>
      <c r="K101" s="278">
        <f>$G$6</f>
        <v>0.06119212962962963</v>
      </c>
      <c r="L101" s="542" t="str">
        <f>$E$6</f>
        <v>1/2 Mar</v>
      </c>
      <c r="N101" s="58"/>
      <c r="O101" s="58"/>
      <c r="P101" s="377">
        <v>130</v>
      </c>
      <c r="Q101" s="817">
        <f>P101*0.45359237</f>
        <v>58.9670081</v>
      </c>
      <c r="R101" s="818"/>
    </row>
    <row r="102" spans="2:18" ht="13.5" customHeight="1" thickBot="1">
      <c r="B102" s="938" t="s">
        <v>113</v>
      </c>
      <c r="C102" s="939"/>
      <c r="D102" s="940"/>
      <c r="E102" s="893">
        <v>170</v>
      </c>
      <c r="F102" s="894"/>
      <c r="G102" s="952">
        <f>E101*G101/E102</f>
        <v>20.880000000000003</v>
      </c>
      <c r="H102" s="952"/>
      <c r="I102" s="950">
        <f>E102*IF($B$4,1,0.45359237)*G102/1000</f>
        <v>3.5496000000000003</v>
      </c>
      <c r="J102" s="951"/>
      <c r="K102" s="125"/>
      <c r="L102" s="543"/>
      <c r="M102" s="50"/>
      <c r="N102" s="58"/>
      <c r="O102" s="58"/>
      <c r="P102" s="378">
        <v>74</v>
      </c>
      <c r="Q102" s="666">
        <f>P102*2.54</f>
        <v>187.96</v>
      </c>
      <c r="R102" s="667"/>
    </row>
    <row r="103" spans="2:18" ht="13.5" customHeight="1" thickBot="1" thickTop="1">
      <c r="B103" s="895" t="s">
        <v>154</v>
      </c>
      <c r="C103" s="896"/>
      <c r="D103" s="897"/>
      <c r="E103" s="893">
        <v>170</v>
      </c>
      <c r="F103" s="894"/>
      <c r="G103" s="930">
        <v>56.6</v>
      </c>
      <c r="H103" s="930"/>
      <c r="I103" s="931">
        <f>E103*IF($B$4,1,0.45359237)*G103/1000</f>
        <v>9.622</v>
      </c>
      <c r="J103" s="932"/>
      <c r="K103" s="127"/>
      <c r="L103" s="544"/>
      <c r="M103" s="535" t="s">
        <v>4</v>
      </c>
      <c r="N103" s="58"/>
      <c r="O103" s="58"/>
      <c r="P103" s="679" t="s">
        <v>110</v>
      </c>
      <c r="Q103" s="680"/>
      <c r="R103" s="681"/>
    </row>
    <row r="104" spans="2:18" ht="13.5" customHeight="1" thickBot="1">
      <c r="B104" s="955" t="s">
        <v>114</v>
      </c>
      <c r="C104" s="956"/>
      <c r="D104" s="957"/>
      <c r="E104" s="891"/>
      <c r="F104" s="892"/>
      <c r="G104" s="933"/>
      <c r="H104" s="933"/>
      <c r="I104" s="953">
        <f>E104*IF($B$4,1,0.45359237)*G104/1000</f>
        <v>0</v>
      </c>
      <c r="J104" s="954"/>
      <c r="K104" s="126"/>
      <c r="L104" s="545"/>
      <c r="M104" s="536" t="s">
        <v>196</v>
      </c>
      <c r="N104" s="58"/>
      <c r="O104" s="58"/>
      <c r="P104" s="379">
        <v>5</v>
      </c>
      <c r="Q104" s="668">
        <f>P104*0.621371192</f>
        <v>3.10685596</v>
      </c>
      <c r="R104" s="669"/>
    </row>
    <row r="105" spans="2:18" ht="13.5" customHeight="1" thickBot="1">
      <c r="B105" s="802" t="s">
        <v>115</v>
      </c>
      <c r="C105" s="803"/>
      <c r="D105" s="803"/>
      <c r="E105" s="803"/>
      <c r="F105" s="803"/>
      <c r="G105" s="803"/>
      <c r="H105" s="803"/>
      <c r="I105" s="803"/>
      <c r="J105" s="803"/>
      <c r="K105" s="803"/>
      <c r="L105" s="804"/>
      <c r="M105" s="537">
        <f>IF(L118&gt;0,SUM(E109:K110)/L118,0)</f>
        <v>0.8476190476190476</v>
      </c>
      <c r="N105" s="58"/>
      <c r="O105" s="58"/>
      <c r="P105" s="386">
        <v>0.2590277777777778</v>
      </c>
      <c r="Q105" s="675">
        <f>P105/0.62137117223/60</f>
        <v>0.006947746890374965</v>
      </c>
      <c r="R105" s="676"/>
    </row>
    <row r="106" spans="2:18" ht="13.5" customHeight="1" thickBot="1" thickTop="1">
      <c r="B106" s="280"/>
      <c r="C106" s="121"/>
      <c r="D106" s="121"/>
      <c r="E106" s="121"/>
      <c r="F106" s="121"/>
      <c r="G106" s="121"/>
      <c r="H106" s="121"/>
      <c r="I106" s="121"/>
      <c r="J106" s="121"/>
      <c r="K106" s="121"/>
      <c r="L106" s="546"/>
      <c r="M106" s="538" t="s">
        <v>183</v>
      </c>
      <c r="N106" s="74"/>
      <c r="O106" s="58"/>
      <c r="P106" s="380">
        <v>62</v>
      </c>
      <c r="Q106" s="670">
        <f>P106*2.20462262</f>
        <v>136.68660244</v>
      </c>
      <c r="R106" s="671"/>
    </row>
    <row r="107" spans="2:18" ht="13.5" customHeight="1" thickBot="1" thickTop="1">
      <c r="B107" s="887" t="s">
        <v>144</v>
      </c>
      <c r="C107" s="888"/>
      <c r="D107" s="888"/>
      <c r="E107" s="888"/>
      <c r="F107" s="888"/>
      <c r="G107" s="888"/>
      <c r="H107" s="888"/>
      <c r="I107" s="888"/>
      <c r="J107" s="888"/>
      <c r="K107" s="889"/>
      <c r="L107" s="890"/>
      <c r="M107" s="536" t="s">
        <v>197</v>
      </c>
      <c r="N107" s="74"/>
      <c r="O107" s="58"/>
      <c r="P107" s="381">
        <v>188</v>
      </c>
      <c r="Q107" s="677">
        <f>P107*0.393700787</f>
        <v>74.015747956</v>
      </c>
      <c r="R107" s="678"/>
    </row>
    <row r="108" spans="2:18" ht="13.5" customHeight="1" thickBot="1" thickTop="1">
      <c r="B108" s="914" t="s">
        <v>163</v>
      </c>
      <c r="C108" s="915"/>
      <c r="D108" s="163" t="s">
        <v>140</v>
      </c>
      <c r="E108" s="355" t="s">
        <v>22</v>
      </c>
      <c r="F108" s="355" t="s">
        <v>23</v>
      </c>
      <c r="G108" s="355" t="s">
        <v>24</v>
      </c>
      <c r="H108" s="355" t="s">
        <v>25</v>
      </c>
      <c r="I108" s="355" t="s">
        <v>26</v>
      </c>
      <c r="J108" s="356" t="s">
        <v>27</v>
      </c>
      <c r="K108" s="357" t="s">
        <v>159</v>
      </c>
      <c r="L108" s="547" t="s">
        <v>134</v>
      </c>
      <c r="M108" s="537">
        <f>SUM(L112:L114)</f>
        <v>0.1523809523809524</v>
      </c>
      <c r="N108" s="74"/>
      <c r="O108" s="58"/>
      <c r="P108" s="672" t="s">
        <v>234</v>
      </c>
      <c r="Q108" s="673"/>
      <c r="R108" s="674"/>
    </row>
    <row r="109" spans="2:18" ht="13.5" customHeight="1">
      <c r="B109" s="904" t="s">
        <v>173</v>
      </c>
      <c r="C109" s="905"/>
      <c r="D109" s="190" t="s">
        <v>156</v>
      </c>
      <c r="E109" s="164">
        <v>1</v>
      </c>
      <c r="F109" s="164">
        <v>1</v>
      </c>
      <c r="G109" s="164">
        <v>1</v>
      </c>
      <c r="H109" s="164">
        <v>1</v>
      </c>
      <c r="I109" s="164">
        <v>1</v>
      </c>
      <c r="J109" s="194">
        <v>1.5</v>
      </c>
      <c r="K109" s="197">
        <v>1</v>
      </c>
      <c r="L109" s="273">
        <f>IF(SUM(E109:K109)&gt;0,SUM(E109:K109)/L118,"---")</f>
        <v>0.14285714285714285</v>
      </c>
      <c r="M109" s="538" t="s">
        <v>184</v>
      </c>
      <c r="N109" s="74"/>
      <c r="O109" s="58"/>
      <c r="P109" s="376">
        <v>0.4166666666666667</v>
      </c>
      <c r="Q109" s="370">
        <f>P109*1440</f>
        <v>600</v>
      </c>
      <c r="R109" s="520">
        <f>60/P109/24</f>
        <v>6</v>
      </c>
    </row>
    <row r="110" spans="2:18" ht="13.5" customHeight="1">
      <c r="B110" s="906" t="s">
        <v>161</v>
      </c>
      <c r="C110" s="907"/>
      <c r="D110" s="191" t="s">
        <v>157</v>
      </c>
      <c r="E110" s="200">
        <v>3</v>
      </c>
      <c r="F110" s="200">
        <v>2</v>
      </c>
      <c r="G110" s="200">
        <v>5</v>
      </c>
      <c r="H110" s="200">
        <v>9</v>
      </c>
      <c r="I110" s="200">
        <v>5</v>
      </c>
      <c r="J110" s="201">
        <v>2</v>
      </c>
      <c r="K110" s="202">
        <v>11</v>
      </c>
      <c r="L110" s="548">
        <f>IF(SUM(E110:K110)&gt;0,SUM(E110:K110)/L118,"---")</f>
        <v>0.7047619047619048</v>
      </c>
      <c r="M110" s="536" t="s">
        <v>198</v>
      </c>
      <c r="N110" s="74"/>
      <c r="O110" s="58"/>
      <c r="P110" s="382">
        <v>6</v>
      </c>
      <c r="Q110" s="371">
        <f>60/P110/1440</f>
        <v>0.006944444444444444</v>
      </c>
      <c r="R110" s="521">
        <f>60/P110*60</f>
        <v>600</v>
      </c>
    </row>
    <row r="111" spans="2:18" ht="13.5" customHeight="1" thickBot="1">
      <c r="B111" s="902" t="s">
        <v>136</v>
      </c>
      <c r="C111" s="903"/>
      <c r="D111" s="270" t="s">
        <v>155</v>
      </c>
      <c r="E111" s="884" t="s">
        <v>166</v>
      </c>
      <c r="F111" s="885"/>
      <c r="G111" s="885"/>
      <c r="H111" s="885"/>
      <c r="I111" s="885"/>
      <c r="J111" s="886"/>
      <c r="K111" s="271"/>
      <c r="L111" s="276">
        <f>IF(K118&gt;0,K118/L118,"---")</f>
        <v>0.22857142857142856</v>
      </c>
      <c r="M111" s="539">
        <f>SUM(L115:L117)</f>
        <v>0</v>
      </c>
      <c r="N111" s="74"/>
      <c r="O111" s="58"/>
      <c r="P111" s="383">
        <v>600</v>
      </c>
      <c r="Q111" s="372">
        <f>P111/1440/60</f>
        <v>0.006944444444444445</v>
      </c>
      <c r="R111" s="522">
        <f>60/P111*60</f>
        <v>6</v>
      </c>
    </row>
    <row r="112" spans="2:18" ht="13.5" customHeight="1" thickTop="1">
      <c r="B112" s="904" t="s">
        <v>139</v>
      </c>
      <c r="C112" s="905"/>
      <c r="D112" s="193" t="s">
        <v>141</v>
      </c>
      <c r="E112" s="164"/>
      <c r="F112" s="164">
        <v>8</v>
      </c>
      <c r="G112" s="164"/>
      <c r="H112" s="164"/>
      <c r="I112" s="164"/>
      <c r="J112" s="194"/>
      <c r="K112" s="197"/>
      <c r="L112" s="273">
        <f>IF(SUM(E112:K112)&gt;0,SUM(E112:K112)/L118,"---")</f>
        <v>0.1523809523809524</v>
      </c>
      <c r="M112" s="74"/>
      <c r="N112" s="74"/>
      <c r="O112" s="58"/>
      <c r="P112" s="384">
        <v>0.2590277777777778</v>
      </c>
      <c r="Q112" s="370">
        <f>P112*1440</f>
        <v>373.00000000000006</v>
      </c>
      <c r="R112" s="523">
        <f>60/P112/24</f>
        <v>9.651474530831099</v>
      </c>
    </row>
    <row r="113" spans="2:18" ht="13.5" customHeight="1">
      <c r="B113" s="906" t="s">
        <v>158</v>
      </c>
      <c r="C113" s="907"/>
      <c r="D113" s="274" t="s">
        <v>142</v>
      </c>
      <c r="E113" s="192"/>
      <c r="F113" s="192"/>
      <c r="G113" s="192"/>
      <c r="H113" s="192"/>
      <c r="I113" s="192"/>
      <c r="J113" s="195"/>
      <c r="K113" s="198"/>
      <c r="L113" s="548" t="str">
        <f>IF(SUM(E113:K113)&gt;0,SUM(E113:K113)/L118,"---")</f>
        <v>---</v>
      </c>
      <c r="M113" s="50"/>
      <c r="N113" s="58"/>
      <c r="O113" s="58"/>
      <c r="P113" s="385">
        <v>9.65</v>
      </c>
      <c r="Q113" s="373">
        <f>60/P113/1440</f>
        <v>0.004317789291882556</v>
      </c>
      <c r="R113" s="521">
        <f>60/P113*60</f>
        <v>373.05699481865287</v>
      </c>
    </row>
    <row r="114" spans="2:18" ht="13.5" customHeight="1" thickBot="1">
      <c r="B114" s="902" t="s">
        <v>160</v>
      </c>
      <c r="C114" s="917"/>
      <c r="D114" s="272"/>
      <c r="E114" s="200"/>
      <c r="F114" s="200"/>
      <c r="G114" s="200"/>
      <c r="H114" s="200"/>
      <c r="I114" s="200"/>
      <c r="J114" s="201"/>
      <c r="K114" s="202"/>
      <c r="L114" s="276" t="str">
        <f>IF(SUM(E114:K114)&gt;0,SUM(E114:K114)/L118,"---")</f>
        <v>---</v>
      </c>
      <c r="M114" s="50"/>
      <c r="N114" s="58"/>
      <c r="O114" s="58"/>
      <c r="P114" s="383">
        <v>373</v>
      </c>
      <c r="Q114" s="374">
        <f>P114/1440/60</f>
        <v>0.00431712962962963</v>
      </c>
      <c r="R114" s="524">
        <f>60/P114*60</f>
        <v>9.651474530831099</v>
      </c>
    </row>
    <row r="115" spans="2:18" ht="13.5" customHeight="1" thickBot="1">
      <c r="B115" s="904" t="s">
        <v>137</v>
      </c>
      <c r="C115" s="905"/>
      <c r="D115" s="193" t="s">
        <v>143</v>
      </c>
      <c r="E115" s="164"/>
      <c r="F115" s="164"/>
      <c r="G115" s="164"/>
      <c r="H115" s="164"/>
      <c r="I115" s="164"/>
      <c r="J115" s="194"/>
      <c r="K115" s="197"/>
      <c r="L115" s="273" t="str">
        <f>IF(SUM(E115:K115)&gt;0,SUM(E115:K115)/L118,"---")</f>
        <v>---</v>
      </c>
      <c r="M115" s="50"/>
      <c r="N115" s="58"/>
      <c r="O115" s="58"/>
      <c r="P115" s="262"/>
      <c r="Q115" s="368" t="s">
        <v>133</v>
      </c>
      <c r="R115" s="525" t="s">
        <v>117</v>
      </c>
    </row>
    <row r="116" spans="2:18" ht="13.5" customHeight="1" thickTop="1">
      <c r="B116" s="902" t="s">
        <v>138</v>
      </c>
      <c r="C116" s="903"/>
      <c r="D116" s="275" t="s">
        <v>164</v>
      </c>
      <c r="E116" s="200"/>
      <c r="F116" s="200"/>
      <c r="G116" s="200"/>
      <c r="H116" s="200"/>
      <c r="I116" s="200"/>
      <c r="J116" s="201"/>
      <c r="K116" s="202"/>
      <c r="L116" s="276" t="str">
        <f>IF(SUM(E116:K116)&gt;0,SUM(E116:K116)/L118,"---")</f>
        <v>---</v>
      </c>
      <c r="M116" s="50"/>
      <c r="N116" s="58"/>
      <c r="O116" s="58"/>
      <c r="P116" s="289" t="s">
        <v>6</v>
      </c>
      <c r="Q116" s="369">
        <v>13.109375</v>
      </c>
      <c r="R116" s="526">
        <v>21097.494</v>
      </c>
    </row>
    <row r="117" spans="2:19" ht="13.5" customHeight="1" thickBot="1">
      <c r="B117" s="902" t="s">
        <v>135</v>
      </c>
      <c r="C117" s="916"/>
      <c r="D117" s="277"/>
      <c r="E117" s="192"/>
      <c r="F117" s="192"/>
      <c r="G117" s="192"/>
      <c r="H117" s="192"/>
      <c r="I117" s="192"/>
      <c r="J117" s="195"/>
      <c r="K117" s="198"/>
      <c r="L117" s="276" t="str">
        <f>IF(SUM(E117:K117)&gt;0,SUM(E117:K117)/L118,"---")</f>
        <v>---</v>
      </c>
      <c r="M117" s="96"/>
      <c r="N117" s="58"/>
      <c r="O117" s="549"/>
      <c r="P117" s="450" t="s">
        <v>2</v>
      </c>
      <c r="Q117" s="451">
        <v>26.21875</v>
      </c>
      <c r="R117" s="527">
        <v>42194.988</v>
      </c>
      <c r="S117" s="56"/>
    </row>
    <row r="118" spans="2:19" ht="13.5" customHeight="1" thickBot="1" thickTop="1">
      <c r="B118" s="281"/>
      <c r="C118" s="188" t="s">
        <v>132</v>
      </c>
      <c r="D118" s="189"/>
      <c r="E118" s="165">
        <f aca="true" t="shared" si="37" ref="E118:K118">SUM(E109:E117)</f>
        <v>4</v>
      </c>
      <c r="F118" s="165">
        <f t="shared" si="37"/>
        <v>11</v>
      </c>
      <c r="G118" s="165">
        <f t="shared" si="37"/>
        <v>6</v>
      </c>
      <c r="H118" s="165">
        <f t="shared" si="37"/>
        <v>10</v>
      </c>
      <c r="I118" s="165">
        <f t="shared" si="37"/>
        <v>6</v>
      </c>
      <c r="J118" s="196">
        <f t="shared" si="37"/>
        <v>3.5</v>
      </c>
      <c r="K118" s="199">
        <f t="shared" si="37"/>
        <v>12</v>
      </c>
      <c r="L118" s="166">
        <f>SUM(E118:K118)</f>
        <v>52.5</v>
      </c>
      <c r="R118" s="550"/>
      <c r="S118" s="56"/>
    </row>
    <row r="119" spans="2:19" ht="13.5" customHeight="1" thickBot="1" thickTop="1">
      <c r="B119" s="308"/>
      <c r="C119" s="449"/>
      <c r="D119" s="262"/>
      <c r="E119" s="262"/>
      <c r="F119" s="262"/>
      <c r="G119" s="262"/>
      <c r="H119" s="262"/>
      <c r="I119" s="262"/>
      <c r="J119" s="262"/>
      <c r="K119" s="262"/>
      <c r="L119" s="262"/>
      <c r="M119" s="262"/>
      <c r="N119" s="262"/>
      <c r="O119" s="262"/>
      <c r="P119" s="262"/>
      <c r="Q119" s="262"/>
      <c r="R119" s="551"/>
      <c r="S119" s="56"/>
    </row>
    <row r="120" spans="19:25" ht="13.5" customHeight="1" thickTop="1">
      <c r="S120" s="56"/>
      <c r="Y120" s="50"/>
    </row>
    <row r="121" spans="19:30" ht="13.5" customHeight="1">
      <c r="S121" s="682" t="s">
        <v>31</v>
      </c>
      <c r="T121" s="683"/>
      <c r="U121" s="683"/>
      <c r="V121" s="683"/>
      <c r="W121" s="683"/>
      <c r="X121" s="683"/>
      <c r="Y121" s="683"/>
      <c r="Z121" s="683"/>
      <c r="AA121" s="683"/>
      <c r="AB121" s="683"/>
      <c r="AC121" s="683"/>
      <c r="AD121" s="684"/>
    </row>
    <row r="122" spans="19:29" ht="13.5" customHeight="1" thickBot="1">
      <c r="S122" s="631"/>
      <c r="T122" s="56"/>
      <c r="Z122" s="296"/>
      <c r="AA122" s="69"/>
      <c r="AB122" s="69"/>
      <c r="AC122" s="69"/>
    </row>
    <row r="123" spans="19:30" ht="13.5" customHeight="1" thickBot="1">
      <c r="S123" s="56"/>
      <c r="AA123" s="685" t="s">
        <v>177</v>
      </c>
      <c r="AB123" s="686"/>
      <c r="AC123" s="686"/>
      <c r="AD123" s="687"/>
    </row>
    <row r="124" spans="19:30" ht="13.5" customHeight="1" thickBot="1">
      <c r="S124" s="51" t="s">
        <v>39</v>
      </c>
      <c r="T124" s="51" t="s">
        <v>29</v>
      </c>
      <c r="U124" s="51" t="s">
        <v>30</v>
      </c>
      <c r="V124" s="66"/>
      <c r="W124" s="69"/>
      <c r="X124" s="69"/>
      <c r="Y124" s="69"/>
      <c r="Z124" s="69"/>
      <c r="AA124" s="81" t="s">
        <v>81</v>
      </c>
      <c r="AB124" s="81" t="s">
        <v>83</v>
      </c>
      <c r="AC124" s="81" t="s">
        <v>84</v>
      </c>
      <c r="AD124" s="139" t="s">
        <v>122</v>
      </c>
    </row>
    <row r="125" spans="19:30" ht="13.5" customHeight="1">
      <c r="S125" s="628">
        <v>0.5</v>
      </c>
      <c r="T125" s="628">
        <v>0.56</v>
      </c>
      <c r="U125" s="629">
        <v>0.1</v>
      </c>
      <c r="V125" s="66"/>
      <c r="W125" s="69"/>
      <c r="X125" s="69"/>
      <c r="Y125" s="69"/>
      <c r="Z125" s="69"/>
      <c r="AA125" s="80">
        <v>5</v>
      </c>
      <c r="AB125" s="80">
        <v>0.645205</v>
      </c>
      <c r="AC125" s="82">
        <v>0.694685</v>
      </c>
      <c r="AD125" s="82">
        <v>1.0717161072149122</v>
      </c>
    </row>
    <row r="126" spans="19:30" ht="13.5" customHeight="1" thickBot="1">
      <c r="S126" s="52">
        <v>0.59</v>
      </c>
      <c r="T126" s="52">
        <v>0.65</v>
      </c>
      <c r="U126" s="53">
        <v>0.1</v>
      </c>
      <c r="V126" s="66"/>
      <c r="W126" s="69"/>
      <c r="X126" s="69"/>
      <c r="Y126" s="69"/>
      <c r="Z126" s="69"/>
      <c r="AA126" s="79">
        <f aca="true" t="shared" si="38" ref="AA126:AA157">+AA125+1</f>
        <v>6</v>
      </c>
      <c r="AB126" s="79">
        <v>0.6829749999999998</v>
      </c>
      <c r="AC126" s="79">
        <v>0.7297900000000002</v>
      </c>
      <c r="AD126" s="79">
        <v>1.0739230424801767</v>
      </c>
    </row>
    <row r="127" spans="19:30" ht="13.5" customHeight="1">
      <c r="S127" s="52">
        <v>0.595</v>
      </c>
      <c r="T127" s="52">
        <v>0.655</v>
      </c>
      <c r="U127" s="53">
        <f>(U125+U128)/2</f>
        <v>0.10500000000000001</v>
      </c>
      <c r="V127" s="71" t="s">
        <v>65</v>
      </c>
      <c r="W127" s="69"/>
      <c r="X127" s="69"/>
      <c r="Y127" s="69"/>
      <c r="Z127" s="69"/>
      <c r="AA127" s="79">
        <f t="shared" si="38"/>
        <v>7</v>
      </c>
      <c r="AB127" s="79">
        <v>0.7185449999999999</v>
      </c>
      <c r="AC127" s="79">
        <v>0.7626949999999999</v>
      </c>
      <c r="AD127" s="79">
        <v>1.0758667889705245</v>
      </c>
    </row>
    <row r="128" spans="19:30" ht="13.5" customHeight="1">
      <c r="S128" s="52">
        <v>0.6</v>
      </c>
      <c r="T128" s="52">
        <v>0.66</v>
      </c>
      <c r="U128" s="70">
        <v>0.11</v>
      </c>
      <c r="V128" s="72" t="s">
        <v>66</v>
      </c>
      <c r="W128" s="69"/>
      <c r="X128" s="69"/>
      <c r="Y128" s="69"/>
      <c r="Z128" s="69"/>
      <c r="AA128" s="79">
        <f t="shared" si="38"/>
        <v>8</v>
      </c>
      <c r="AB128" s="79">
        <v>0.7519150000000001</v>
      </c>
      <c r="AC128" s="79">
        <v>0.7934000000000001</v>
      </c>
      <c r="AD128" s="79">
        <v>1.0776469003205316</v>
      </c>
    </row>
    <row r="129" spans="19:30" ht="13.5" customHeight="1">
      <c r="S129" s="52">
        <v>0.605</v>
      </c>
      <c r="T129" s="52">
        <v>0.665</v>
      </c>
      <c r="U129" s="70">
        <f>(U128+U130)/2</f>
        <v>0.11599999999999999</v>
      </c>
      <c r="V129" s="72" t="s">
        <v>67</v>
      </c>
      <c r="W129" s="69"/>
      <c r="X129" s="69"/>
      <c r="Y129" s="69"/>
      <c r="Z129" s="69"/>
      <c r="AA129" s="79">
        <f t="shared" si="38"/>
        <v>9</v>
      </c>
      <c r="AB129" s="79">
        <v>0.783085</v>
      </c>
      <c r="AC129" s="79">
        <v>0.8219050000000001</v>
      </c>
      <c r="AD129" s="79">
        <v>1.0792239062985196</v>
      </c>
    </row>
    <row r="130" spans="19:30" ht="13.5" customHeight="1">
      <c r="S130" s="52">
        <v>0.61</v>
      </c>
      <c r="T130" s="52">
        <v>0.67</v>
      </c>
      <c r="U130" s="70">
        <v>0.122</v>
      </c>
      <c r="V130" s="73" t="s">
        <v>68</v>
      </c>
      <c r="W130" s="69"/>
      <c r="X130" s="69"/>
      <c r="Y130" s="69"/>
      <c r="Z130" s="69"/>
      <c r="AA130" s="79">
        <f t="shared" si="38"/>
        <v>10</v>
      </c>
      <c r="AB130" s="79">
        <v>0.8120550000000002</v>
      </c>
      <c r="AC130" s="79">
        <v>0.8482099999999999</v>
      </c>
      <c r="AD130" s="79">
        <v>1.0807239680349594</v>
      </c>
    </row>
    <row r="131" spans="19:30" ht="13.5" customHeight="1">
      <c r="S131" s="52">
        <v>0.615</v>
      </c>
      <c r="T131" s="52">
        <v>0.675</v>
      </c>
      <c r="U131" s="70">
        <f>(U130+U132)/2</f>
        <v>0.1285</v>
      </c>
      <c r="V131" s="73" t="s">
        <v>69</v>
      </c>
      <c r="W131" s="69"/>
      <c r="X131" s="69"/>
      <c r="Y131" s="69"/>
      <c r="Z131" s="69"/>
      <c r="AA131" s="79">
        <f t="shared" si="38"/>
        <v>11</v>
      </c>
      <c r="AB131" s="79">
        <v>0.8388250000000002</v>
      </c>
      <c r="AC131" s="79">
        <v>0.8723150000000001</v>
      </c>
      <c r="AD131" s="79">
        <v>1.0820638347559939</v>
      </c>
    </row>
    <row r="132" spans="19:30" ht="13.5" customHeight="1">
      <c r="S132" s="52">
        <v>0.62</v>
      </c>
      <c r="T132" s="52">
        <v>0.68</v>
      </c>
      <c r="U132" s="70">
        <v>0.135</v>
      </c>
      <c r="V132" s="73" t="s">
        <v>6</v>
      </c>
      <c r="W132" s="69"/>
      <c r="X132" s="69"/>
      <c r="Y132" s="69"/>
      <c r="Z132" s="69"/>
      <c r="AA132" s="79">
        <f t="shared" si="38"/>
        <v>12</v>
      </c>
      <c r="AB132" s="79">
        <v>0.863395</v>
      </c>
      <c r="AC132" s="79">
        <v>0.8942200000000001</v>
      </c>
      <c r="AD132" s="79">
        <v>1.0833943948134448</v>
      </c>
    </row>
    <row r="133" spans="19:30" ht="13.5" customHeight="1" thickBot="1">
      <c r="S133" s="52">
        <v>0.625</v>
      </c>
      <c r="T133" s="52">
        <v>0.685</v>
      </c>
      <c r="U133" s="70">
        <f>(U132+U134)/2</f>
        <v>0.14250000000000002</v>
      </c>
      <c r="V133" s="78" t="s">
        <v>2</v>
      </c>
      <c r="W133" s="69"/>
      <c r="X133" s="69"/>
      <c r="Y133" s="69"/>
      <c r="Z133" s="69"/>
      <c r="AA133" s="79">
        <f t="shared" si="38"/>
        <v>13</v>
      </c>
      <c r="AB133" s="79">
        <v>0.8857650000000001</v>
      </c>
      <c r="AC133" s="79">
        <v>0.9139250000000001</v>
      </c>
      <c r="AD133" s="79">
        <v>1.0845301479185558</v>
      </c>
    </row>
    <row r="134" spans="19:30" ht="13.5" customHeight="1" thickBot="1">
      <c r="S134" s="52">
        <v>0.63</v>
      </c>
      <c r="T134" s="52">
        <v>0.69</v>
      </c>
      <c r="U134" s="70">
        <v>0.15</v>
      </c>
      <c r="V134" s="137"/>
      <c r="W134" s="69"/>
      <c r="X134" s="664" t="s">
        <v>178</v>
      </c>
      <c r="Y134" s="665"/>
      <c r="Z134" s="69"/>
      <c r="AA134" s="79">
        <f t="shared" si="38"/>
        <v>14</v>
      </c>
      <c r="AB134" s="79">
        <v>0.9059350000000002</v>
      </c>
      <c r="AC134" s="79">
        <v>0.9314300000000001</v>
      </c>
      <c r="AD134" s="79">
        <v>1.0856846439742383</v>
      </c>
    </row>
    <row r="135" spans="19:30" ht="13.5" customHeight="1" thickBot="1">
      <c r="S135" s="52">
        <v>0.635</v>
      </c>
      <c r="T135" s="52">
        <v>0.695</v>
      </c>
      <c r="U135" s="70">
        <f>(U134+U136)/2</f>
        <v>0.1585</v>
      </c>
      <c r="V135" s="138" t="s">
        <v>46</v>
      </c>
      <c r="W135" s="138" t="s">
        <v>59</v>
      </c>
      <c r="X135" s="220" t="s">
        <v>86</v>
      </c>
      <c r="Y135" s="221" t="s">
        <v>87</v>
      </c>
      <c r="Z135" s="240"/>
      <c r="AA135" s="79">
        <f t="shared" si="38"/>
        <v>15</v>
      </c>
      <c r="AB135" s="79">
        <v>0.9239049999999999</v>
      </c>
      <c r="AC135" s="79">
        <v>0.9467349999999998</v>
      </c>
      <c r="AD135" s="79">
        <v>1.0867346763895231</v>
      </c>
    </row>
    <row r="136" spans="19:30" ht="13.5" customHeight="1">
      <c r="S136" s="52">
        <v>0.64</v>
      </c>
      <c r="T136" s="52">
        <v>0.7</v>
      </c>
      <c r="U136" s="53">
        <v>0.167</v>
      </c>
      <c r="V136" s="203" t="s">
        <v>49</v>
      </c>
      <c r="W136" s="204">
        <f>1.5/1.609344</f>
        <v>0.9320567883560009</v>
      </c>
      <c r="X136" s="222">
        <v>0.002384259259259259</v>
      </c>
      <c r="Y136" s="223">
        <v>0.002690625</v>
      </c>
      <c r="Z136" s="224"/>
      <c r="AA136" s="79">
        <f t="shared" si="38"/>
        <v>16</v>
      </c>
      <c r="AB136" s="79">
        <v>0.9396750000000003</v>
      </c>
      <c r="AC136" s="79">
        <v>0.9609400000000001</v>
      </c>
      <c r="AD136" s="79">
        <v>1.0864137994129295</v>
      </c>
    </row>
    <row r="137" spans="19:31" ht="13.5" customHeight="1">
      <c r="S137" s="52">
        <v>0.645</v>
      </c>
      <c r="T137" s="52">
        <v>0.705</v>
      </c>
      <c r="U137" s="53">
        <f>(U136+U138)/2</f>
        <v>0.175</v>
      </c>
      <c r="V137" s="205" t="s">
        <v>1</v>
      </c>
      <c r="W137" s="206">
        <v>1</v>
      </c>
      <c r="X137" s="225">
        <v>0.002576388888888889</v>
      </c>
      <c r="Y137" s="226">
        <v>0.0029120370370370368</v>
      </c>
      <c r="Z137" s="227"/>
      <c r="AA137" s="79">
        <f t="shared" si="38"/>
        <v>17</v>
      </c>
      <c r="AB137" s="79">
        <v>0.9532450000000001</v>
      </c>
      <c r="AC137" s="79">
        <v>0.9751449999999998</v>
      </c>
      <c r="AD137" s="79">
        <v>1.0836445290523349</v>
      </c>
      <c r="AE137" s="69"/>
    </row>
    <row r="138" spans="19:30" ht="13.5" customHeight="1">
      <c r="S138" s="52">
        <v>0.65</v>
      </c>
      <c r="T138" s="52">
        <v>0.71</v>
      </c>
      <c r="U138" s="53">
        <v>0.183</v>
      </c>
      <c r="V138" s="205" t="s">
        <v>50</v>
      </c>
      <c r="W138" s="207">
        <f>2/1.609344</f>
        <v>1.242742384474668</v>
      </c>
      <c r="X138" s="228">
        <v>0.0032777777777777775</v>
      </c>
      <c r="Y138" s="229">
        <v>0.0037210648148148146</v>
      </c>
      <c r="Z138" s="224"/>
      <c r="AA138" s="79">
        <f t="shared" si="38"/>
        <v>18</v>
      </c>
      <c r="AB138" s="79">
        <v>0.9657150000000001</v>
      </c>
      <c r="AC138" s="79">
        <v>0.9873149999999999</v>
      </c>
      <c r="AD138" s="79">
        <v>1.0824259832557352</v>
      </c>
    </row>
    <row r="139" spans="19:30" ht="13.5" customHeight="1">
      <c r="S139" s="52">
        <v>0.655</v>
      </c>
      <c r="T139" s="52">
        <v>0.715</v>
      </c>
      <c r="U139" s="53">
        <f>(U138+U140)/2</f>
        <v>0.1915</v>
      </c>
      <c r="V139" s="205" t="s">
        <v>12</v>
      </c>
      <c r="W139" s="207">
        <f>3/1.609344</f>
        <v>1.8641135767120018</v>
      </c>
      <c r="X139" s="228">
        <v>0.005092592592592593</v>
      </c>
      <c r="Y139" s="229">
        <v>0.005803472222222222</v>
      </c>
      <c r="Z139" s="224"/>
      <c r="AA139" s="79">
        <f t="shared" si="38"/>
        <v>19</v>
      </c>
      <c r="AB139" s="79">
        <v>0.9781849999999999</v>
      </c>
      <c r="AC139" s="79">
        <v>0.9954150000000002</v>
      </c>
      <c r="AD139" s="79">
        <v>1.0864925215278318</v>
      </c>
    </row>
    <row r="140" spans="19:30" ht="13.5" customHeight="1">
      <c r="S140" s="52">
        <v>0.66</v>
      </c>
      <c r="T140" s="52">
        <v>0.72</v>
      </c>
      <c r="U140" s="53">
        <v>0.2</v>
      </c>
      <c r="V140" s="205" t="s">
        <v>51</v>
      </c>
      <c r="W140" s="206">
        <v>2</v>
      </c>
      <c r="X140" s="225">
        <v>0.005493055555555556</v>
      </c>
      <c r="Y140" s="226">
        <v>0.006267361111111111</v>
      </c>
      <c r="Z140" s="227"/>
      <c r="AA140" s="79">
        <f t="shared" si="38"/>
        <v>20</v>
      </c>
      <c r="AB140" s="79">
        <v>0.9888750000000002</v>
      </c>
      <c r="AC140" s="79">
        <v>0.9995150000000004</v>
      </c>
      <c r="AD140" s="79">
        <v>1.093703187222064</v>
      </c>
    </row>
    <row r="141" spans="19:30" ht="13.5" customHeight="1">
      <c r="S141" s="52">
        <v>0.665</v>
      </c>
      <c r="T141" s="52">
        <v>0.725</v>
      </c>
      <c r="U141" s="53">
        <f>(U140+U142)/2</f>
        <v>0.20850000000000002</v>
      </c>
      <c r="V141" s="205" t="s">
        <v>52</v>
      </c>
      <c r="W141" s="206">
        <v>3</v>
      </c>
      <c r="X141" s="225">
        <v>0.008449074074074074</v>
      </c>
      <c r="Y141" s="226">
        <v>0.009641203703703704</v>
      </c>
      <c r="Z141" s="227"/>
      <c r="AA141" s="79">
        <f t="shared" si="38"/>
        <v>21</v>
      </c>
      <c r="AB141" s="79">
        <v>0.99598</v>
      </c>
      <c r="AC141" s="79">
        <v>1</v>
      </c>
      <c r="AD141" s="79">
        <v>1.1013657808043726</v>
      </c>
    </row>
    <row r="142" spans="19:30" ht="13.5" customHeight="1">
      <c r="S142" s="52">
        <v>0.67</v>
      </c>
      <c r="T142" s="52">
        <v>0.73</v>
      </c>
      <c r="U142" s="53">
        <v>0.217</v>
      </c>
      <c r="V142" s="205" t="s">
        <v>11</v>
      </c>
      <c r="W142" s="207">
        <f>5/1.609344</f>
        <v>3.1068559611866697</v>
      </c>
      <c r="X142" s="228">
        <v>0.008958333333333334</v>
      </c>
      <c r="Y142" s="229">
        <v>0.010277777777777778</v>
      </c>
      <c r="Z142" s="224"/>
      <c r="AA142" s="79">
        <f t="shared" si="38"/>
        <v>22</v>
      </c>
      <c r="AB142" s="79">
        <v>0.9995700000000005</v>
      </c>
      <c r="AC142" s="79">
        <v>1</v>
      </c>
      <c r="AD142" s="79">
        <v>1.1054724044062914</v>
      </c>
    </row>
    <row r="143" spans="19:30" ht="13.5" customHeight="1">
      <c r="S143" s="52">
        <v>0.675</v>
      </c>
      <c r="T143" s="52">
        <v>0.735</v>
      </c>
      <c r="U143" s="53">
        <f>(U142+U144)/2</f>
        <v>0.225</v>
      </c>
      <c r="V143" s="205" t="s">
        <v>53</v>
      </c>
      <c r="W143" s="206">
        <v>4</v>
      </c>
      <c r="X143" s="225">
        <v>0.01170138888888889</v>
      </c>
      <c r="Y143" s="226">
        <v>0.013356481481481481</v>
      </c>
      <c r="Z143" s="227"/>
      <c r="AA143" s="79">
        <f t="shared" si="38"/>
        <v>23</v>
      </c>
      <c r="AB143" s="79">
        <v>1</v>
      </c>
      <c r="AC143" s="79">
        <v>1</v>
      </c>
      <c r="AD143" s="79">
        <v>1.1060430871388534</v>
      </c>
    </row>
    <row r="144" spans="19:30" ht="13.5" customHeight="1">
      <c r="S144" s="52">
        <v>0.68</v>
      </c>
      <c r="T144" s="52">
        <v>0.74</v>
      </c>
      <c r="U144" s="53">
        <v>0.233</v>
      </c>
      <c r="V144" s="205" t="s">
        <v>10</v>
      </c>
      <c r="W144" s="207">
        <f>8/1.609344</f>
        <v>4.970969537898672</v>
      </c>
      <c r="X144" s="228">
        <v>0.014722222222222222</v>
      </c>
      <c r="Y144" s="229">
        <v>0.016724537037037038</v>
      </c>
      <c r="Z144" s="224"/>
      <c r="AA144" s="79">
        <f t="shared" si="38"/>
        <v>24</v>
      </c>
      <c r="AB144" s="79">
        <v>1</v>
      </c>
      <c r="AC144" s="79">
        <v>1</v>
      </c>
      <c r="AD144" s="79">
        <v>1.1060430871388534</v>
      </c>
    </row>
    <row r="145" spans="19:30" ht="13.5" customHeight="1">
      <c r="S145" s="52">
        <v>0.685</v>
      </c>
      <c r="T145" s="52">
        <v>0.745</v>
      </c>
      <c r="U145" s="53">
        <f>(U144+U146)/2</f>
        <v>0.2415</v>
      </c>
      <c r="V145" s="205" t="s">
        <v>54</v>
      </c>
      <c r="W145" s="206">
        <v>5</v>
      </c>
      <c r="X145" s="225">
        <v>0.014814814814814815</v>
      </c>
      <c r="Y145" s="226">
        <v>0.016805555555555556</v>
      </c>
      <c r="Z145" s="227"/>
      <c r="AA145" s="79">
        <f t="shared" si="38"/>
        <v>25</v>
      </c>
      <c r="AB145" s="79">
        <v>1</v>
      </c>
      <c r="AC145" s="79">
        <v>1</v>
      </c>
      <c r="AD145" s="79">
        <v>1.1060430871388534</v>
      </c>
    </row>
    <row r="146" spans="19:30" ht="13.5" customHeight="1">
      <c r="S146" s="52">
        <v>0.69</v>
      </c>
      <c r="T146" s="52">
        <v>0.75</v>
      </c>
      <c r="U146" s="53">
        <v>0.25</v>
      </c>
      <c r="V146" s="205" t="s">
        <v>9</v>
      </c>
      <c r="W146" s="207">
        <f>10/1.609344</f>
        <v>6.2137119223733395</v>
      </c>
      <c r="X146" s="228">
        <v>0.018645833333333334</v>
      </c>
      <c r="Y146" s="229">
        <v>0.021064814814814814</v>
      </c>
      <c r="Z146" s="224"/>
      <c r="AA146" s="79">
        <f t="shared" si="38"/>
        <v>26</v>
      </c>
      <c r="AB146" s="79">
        <v>1</v>
      </c>
      <c r="AC146" s="79">
        <v>1</v>
      </c>
      <c r="AD146" s="79">
        <v>1.1060430871388534</v>
      </c>
    </row>
    <row r="147" spans="19:30" ht="13.5" customHeight="1">
      <c r="S147" s="52">
        <v>0.7</v>
      </c>
      <c r="T147" s="52">
        <v>0.755</v>
      </c>
      <c r="U147" s="53">
        <f>(U146+U148)/2</f>
        <v>0.26649999999999996</v>
      </c>
      <c r="V147" s="205" t="s">
        <v>8</v>
      </c>
      <c r="W147" s="207">
        <f>12/1.609344</f>
        <v>7.456454306848007</v>
      </c>
      <c r="X147" s="228">
        <v>0.022581018518518518</v>
      </c>
      <c r="Y147" s="229">
        <v>0.02546296296296296</v>
      </c>
      <c r="Z147" s="224"/>
      <c r="AA147" s="79">
        <f t="shared" si="38"/>
        <v>27</v>
      </c>
      <c r="AB147" s="79">
        <v>1</v>
      </c>
      <c r="AC147" s="79">
        <v>1</v>
      </c>
      <c r="AD147" s="79">
        <v>1.1060430871388534</v>
      </c>
    </row>
    <row r="148" spans="19:30" ht="13.5" customHeight="1">
      <c r="S148" s="52">
        <v>0.71</v>
      </c>
      <c r="T148" s="52">
        <v>0.76</v>
      </c>
      <c r="U148" s="53">
        <v>0.283</v>
      </c>
      <c r="V148" s="205" t="s">
        <v>7</v>
      </c>
      <c r="W148" s="207">
        <f>15/1.609344</f>
        <v>9.32056788356001</v>
      </c>
      <c r="X148" s="228">
        <v>0.028576388888888887</v>
      </c>
      <c r="Y148" s="229">
        <v>0.03208333333333333</v>
      </c>
      <c r="Z148" s="224"/>
      <c r="AA148" s="79">
        <f t="shared" si="38"/>
        <v>28</v>
      </c>
      <c r="AB148" s="79">
        <v>0.9999500000000001</v>
      </c>
      <c r="AC148" s="79">
        <v>1</v>
      </c>
      <c r="AD148" s="79">
        <v>1.106038279411512</v>
      </c>
    </row>
    <row r="149" spans="19:30" ht="13.5" customHeight="1">
      <c r="S149" s="52">
        <v>0.715</v>
      </c>
      <c r="T149" s="52">
        <v>0.765</v>
      </c>
      <c r="U149" s="53">
        <f>(U148+U150)/2</f>
        <v>0.2915</v>
      </c>
      <c r="V149" s="205" t="s">
        <v>55</v>
      </c>
      <c r="W149" s="207">
        <v>10</v>
      </c>
      <c r="X149" s="228">
        <v>0.03082175925925926</v>
      </c>
      <c r="Y149" s="229">
        <v>0.03450231481481481</v>
      </c>
      <c r="Z149" s="224"/>
      <c r="AA149" s="79">
        <f t="shared" si="38"/>
        <v>29</v>
      </c>
      <c r="AB149" s="79">
        <v>0.9995350000000002</v>
      </c>
      <c r="AC149" s="79">
        <v>0.9999750000000001</v>
      </c>
      <c r="AD149" s="79">
        <v>1.1058862291919203</v>
      </c>
    </row>
    <row r="150" spans="19:30" ht="13.5" customHeight="1">
      <c r="S150" s="52">
        <v>0.72</v>
      </c>
      <c r="T150" s="52">
        <v>0.77</v>
      </c>
      <c r="U150" s="53">
        <v>0.3</v>
      </c>
      <c r="V150" s="205" t="s">
        <v>174</v>
      </c>
      <c r="W150" s="207">
        <f>20/1.609344</f>
        <v>12.427423844746679</v>
      </c>
      <c r="X150" s="228">
        <v>0.03886574074074074</v>
      </c>
      <c r="Y150" s="229">
        <v>0.043263888888888886</v>
      </c>
      <c r="Z150" s="224"/>
      <c r="AA150" s="79">
        <f t="shared" si="38"/>
        <v>30</v>
      </c>
      <c r="AB150" s="79">
        <v>0.9986900000000002</v>
      </c>
      <c r="AC150" s="79">
        <v>0.9995400000000003</v>
      </c>
      <c r="AD150" s="79">
        <v>1.10591782684536</v>
      </c>
    </row>
    <row r="151" spans="19:30" ht="13.5" customHeight="1">
      <c r="S151" s="52">
        <v>0.725</v>
      </c>
      <c r="T151" s="52">
        <v>0.775</v>
      </c>
      <c r="U151" s="53">
        <f>(U150+U152)/2</f>
        <v>0.3085</v>
      </c>
      <c r="V151" s="205" t="s">
        <v>6</v>
      </c>
      <c r="W151" s="206">
        <v>13.109375</v>
      </c>
      <c r="X151" s="225">
        <v>0.041122685185185186</v>
      </c>
      <c r="Y151" s="226">
        <v>0.045717592592592594</v>
      </c>
      <c r="Z151" s="227"/>
      <c r="AA151" s="79">
        <f t="shared" si="38"/>
        <v>31</v>
      </c>
      <c r="AB151" s="79">
        <v>0.99738</v>
      </c>
      <c r="AC151" s="79">
        <v>0.9984650000000002</v>
      </c>
      <c r="AD151" s="79">
        <v>1.1065325579505445</v>
      </c>
    </row>
    <row r="152" spans="19:30" ht="13.5" customHeight="1">
      <c r="S152" s="52">
        <v>0.73</v>
      </c>
      <c r="T152" s="52">
        <v>0.78</v>
      </c>
      <c r="U152" s="53">
        <v>0.317</v>
      </c>
      <c r="V152" s="205" t="s">
        <v>56</v>
      </c>
      <c r="W152" s="207">
        <f>25/1.609344</f>
        <v>15.534279805933348</v>
      </c>
      <c r="X152" s="228">
        <v>0.04929398148148148</v>
      </c>
      <c r="Y152" s="229">
        <v>0.05453703703703704</v>
      </c>
      <c r="Z152" s="224"/>
      <c r="AA152" s="79">
        <f t="shared" si="38"/>
        <v>32</v>
      </c>
      <c r="AB152" s="79">
        <v>0.9955550000000001</v>
      </c>
      <c r="AC152" s="79">
        <v>0.9967000000000003</v>
      </c>
      <c r="AD152" s="79">
        <v>1.1074910988979432</v>
      </c>
    </row>
    <row r="153" spans="19:30" ht="13.5" customHeight="1">
      <c r="S153" s="52">
        <v>0.735</v>
      </c>
      <c r="T153" s="52">
        <v>0.785</v>
      </c>
      <c r="U153" s="53">
        <f>(U152+U154)/2</f>
        <v>0.325</v>
      </c>
      <c r="V153" s="205" t="s">
        <v>57</v>
      </c>
      <c r="W153" s="207">
        <f>30/1.609344</f>
        <v>18.64113576712002</v>
      </c>
      <c r="X153" s="228">
        <v>0.05994212962962963</v>
      </c>
      <c r="Y153" s="229">
        <v>0.06592592592592593</v>
      </c>
      <c r="Z153" s="224"/>
      <c r="AA153" s="79">
        <f t="shared" si="38"/>
        <v>33</v>
      </c>
      <c r="AB153" s="79">
        <v>0.9931150000000001</v>
      </c>
      <c r="AC153" s="79">
        <v>0.99428</v>
      </c>
      <c r="AD153" s="79">
        <v>1.108758571496073</v>
      </c>
    </row>
    <row r="154" spans="19:30" ht="13.5" customHeight="1">
      <c r="S154" s="52">
        <v>0.74</v>
      </c>
      <c r="T154" s="52">
        <v>0.79</v>
      </c>
      <c r="U154" s="53">
        <v>0.333</v>
      </c>
      <c r="V154" s="208" t="s">
        <v>2</v>
      </c>
      <c r="W154" s="206">
        <v>26.21875</v>
      </c>
      <c r="X154" s="225">
        <v>0.08674768518518519</v>
      </c>
      <c r="Y154" s="226">
        <v>0.09403935185185185</v>
      </c>
      <c r="Z154" s="227"/>
      <c r="AA154" s="79">
        <f t="shared" si="38"/>
        <v>34</v>
      </c>
      <c r="AB154" s="79">
        <v>0.9898500000000002</v>
      </c>
      <c r="AC154" s="79">
        <v>0.9911850000000004</v>
      </c>
      <c r="AD154" s="79">
        <v>1.1101597227213722</v>
      </c>
    </row>
    <row r="155" spans="19:30" ht="13.5" customHeight="1" thickBot="1">
      <c r="S155" s="52">
        <v>0.745</v>
      </c>
      <c r="T155" s="52">
        <v>0.795</v>
      </c>
      <c r="U155" s="53">
        <f>(U154+U156)/2</f>
        <v>0.3415</v>
      </c>
      <c r="V155" s="209" t="s">
        <v>58</v>
      </c>
      <c r="W155" s="210">
        <f>50/1.609344</f>
        <v>31.068559611866696</v>
      </c>
      <c r="X155" s="230">
        <v>0.1050925925925926</v>
      </c>
      <c r="Y155" s="231">
        <v>0.1136574074074074</v>
      </c>
      <c r="Z155" s="224"/>
      <c r="AA155" s="79">
        <f t="shared" si="38"/>
        <v>35</v>
      </c>
      <c r="AB155" s="79">
        <v>0.9854149999999999</v>
      </c>
      <c r="AC155" s="79">
        <v>0.9874649999999999</v>
      </c>
      <c r="AD155" s="79">
        <v>1.1115453382425078</v>
      </c>
    </row>
    <row r="156" spans="19:30" ht="13.5" customHeight="1">
      <c r="S156" s="52">
        <v>0.75</v>
      </c>
      <c r="T156" s="52">
        <v>0.8</v>
      </c>
      <c r="U156" s="53">
        <v>0.35</v>
      </c>
      <c r="AA156" s="79">
        <f t="shared" si="38"/>
        <v>36</v>
      </c>
      <c r="AB156" s="79">
        <v>0.9802099999999998</v>
      </c>
      <c r="AC156" s="79">
        <v>0.98302</v>
      </c>
      <c r="AD156" s="79">
        <v>1.1126118603259432</v>
      </c>
    </row>
    <row r="157" spans="19:30" ht="13.5" customHeight="1">
      <c r="S157" s="52">
        <v>0.755</v>
      </c>
      <c r="T157" s="52">
        <v>0.805</v>
      </c>
      <c r="U157" s="53">
        <f>(U156+U158)/2</f>
        <v>0.3585</v>
      </c>
      <c r="AA157" s="79">
        <f t="shared" si="38"/>
        <v>37</v>
      </c>
      <c r="AB157" s="79">
        <v>0.9740149999999999</v>
      </c>
      <c r="AC157" s="79">
        <v>0.9779550000000002</v>
      </c>
      <c r="AD157" s="79">
        <v>1.1129658638071314</v>
      </c>
    </row>
    <row r="158" spans="19:30" ht="13.5" customHeight="1">
      <c r="S158" s="52">
        <v>0.76</v>
      </c>
      <c r="T158" s="52">
        <v>0.81</v>
      </c>
      <c r="U158" s="53">
        <v>0.367</v>
      </c>
      <c r="AA158" s="79">
        <f aca="true" t="shared" si="39" ref="AA158:AA189">+AA157+1</f>
        <v>38</v>
      </c>
      <c r="AB158" s="79">
        <v>0.9671099999999999</v>
      </c>
      <c r="AC158" s="79">
        <v>0.9722400000000002</v>
      </c>
      <c r="AD158" s="79">
        <v>1.1125551383286836</v>
      </c>
    </row>
    <row r="159" spans="19:30" ht="13.5" customHeight="1">
      <c r="S159" s="52">
        <v>0.765</v>
      </c>
      <c r="T159" s="52">
        <v>0.815</v>
      </c>
      <c r="U159" s="53">
        <f>(U158+U160)/2</f>
        <v>0.3795</v>
      </c>
      <c r="AA159" s="79">
        <f t="shared" si="39"/>
        <v>39</v>
      </c>
      <c r="AB159" s="79">
        <v>0.95977</v>
      </c>
      <c r="AC159" s="79">
        <v>0.9658199999999997</v>
      </c>
      <c r="AD159" s="79">
        <v>1.1117725987466613</v>
      </c>
    </row>
    <row r="160" spans="19:30" ht="13.5" customHeight="1">
      <c r="S160" s="52">
        <v>0.77</v>
      </c>
      <c r="T160" s="52">
        <v>0.82</v>
      </c>
      <c r="U160" s="53">
        <v>0.392</v>
      </c>
      <c r="AA160" s="79">
        <f t="shared" si="39"/>
        <v>40</v>
      </c>
      <c r="AB160" s="79">
        <v>0.9523550000000001</v>
      </c>
      <c r="AC160" s="79">
        <v>0.9587649999999999</v>
      </c>
      <c r="AD160" s="79">
        <v>1.1113999047937293</v>
      </c>
    </row>
    <row r="161" spans="19:30" ht="13.5" customHeight="1">
      <c r="S161" s="52">
        <v>0.775</v>
      </c>
      <c r="T161" s="52">
        <v>0.825</v>
      </c>
      <c r="U161" s="53">
        <f>(U160+U162)/2</f>
        <v>0.40449999999999997</v>
      </c>
      <c r="AA161" s="79">
        <f t="shared" si="39"/>
        <v>41</v>
      </c>
      <c r="AB161" s="79">
        <v>0.9449500000000001</v>
      </c>
      <c r="AC161" s="79">
        <v>0.95103</v>
      </c>
      <c r="AD161" s="79">
        <v>1.1118695176197233</v>
      </c>
    </row>
    <row r="162" spans="19:30" ht="13.5" customHeight="1">
      <c r="S162" s="52">
        <v>0.78</v>
      </c>
      <c r="T162" s="52">
        <v>0.83</v>
      </c>
      <c r="U162" s="53">
        <v>0.417</v>
      </c>
      <c r="AA162" s="79">
        <f t="shared" si="39"/>
        <v>42</v>
      </c>
      <c r="AB162" s="79">
        <v>0.9375850000000003</v>
      </c>
      <c r="AC162" s="79">
        <v>0.9426199999999998</v>
      </c>
      <c r="AD162" s="79">
        <v>1.1132344768104752</v>
      </c>
    </row>
    <row r="163" spans="19:30" ht="13.5" customHeight="1">
      <c r="S163" s="52">
        <v>0.785</v>
      </c>
      <c r="T163" s="52">
        <v>0.835</v>
      </c>
      <c r="U163" s="53">
        <f>(U162+U164)/2</f>
        <v>0.4295</v>
      </c>
      <c r="AA163" s="79">
        <f t="shared" si="39"/>
        <v>43</v>
      </c>
      <c r="AB163" s="79">
        <v>0.9302299999999999</v>
      </c>
      <c r="AC163" s="79">
        <v>0.93363</v>
      </c>
      <c r="AD163" s="79">
        <v>1.115260502874354</v>
      </c>
    </row>
    <row r="164" spans="19:30" ht="13.5" customHeight="1">
      <c r="S164" s="52">
        <v>0.79</v>
      </c>
      <c r="T164" s="52">
        <v>0.84</v>
      </c>
      <c r="U164" s="53">
        <v>0.442</v>
      </c>
      <c r="AA164" s="79">
        <f t="shared" si="39"/>
        <v>44</v>
      </c>
      <c r="AB164" s="79">
        <v>0.92282</v>
      </c>
      <c r="AC164" s="79">
        <v>0.9241049999999996</v>
      </c>
      <c r="AD164" s="79">
        <v>1.118104417490911</v>
      </c>
    </row>
    <row r="165" spans="19:30" ht="13.5" customHeight="1">
      <c r="S165" s="52">
        <v>0.795</v>
      </c>
      <c r="T165" s="52">
        <v>0.845</v>
      </c>
      <c r="U165" s="53">
        <f>(U164+U166)/2</f>
        <v>0.4545</v>
      </c>
      <c r="AA165" s="79">
        <f t="shared" si="39"/>
        <v>45</v>
      </c>
      <c r="AB165" s="79">
        <v>0.9154550000000002</v>
      </c>
      <c r="AC165" s="79">
        <v>0.91414</v>
      </c>
      <c r="AD165" s="79">
        <v>1.121402728665532</v>
      </c>
    </row>
    <row r="166" spans="19:30" ht="13.5" customHeight="1">
      <c r="S166" s="52">
        <v>0.8</v>
      </c>
      <c r="T166" s="52">
        <v>0.85</v>
      </c>
      <c r="U166" s="53">
        <v>0.467</v>
      </c>
      <c r="AA166" s="79">
        <f t="shared" si="39"/>
        <v>46</v>
      </c>
      <c r="AB166" s="79">
        <v>0.9080900000000002</v>
      </c>
      <c r="AC166" s="79">
        <v>0.9038499999999997</v>
      </c>
      <c r="AD166" s="79">
        <v>1.1251880637523548</v>
      </c>
    </row>
    <row r="167" spans="19:30" ht="13.5" customHeight="1">
      <c r="S167" s="52">
        <v>0.805</v>
      </c>
      <c r="T167" s="52">
        <v>0.855</v>
      </c>
      <c r="U167" s="53">
        <f>(U166+U168)/2</f>
        <v>0.47950000000000004</v>
      </c>
      <c r="AA167" s="79">
        <f t="shared" si="39"/>
        <v>47</v>
      </c>
      <c r="AB167" s="79">
        <v>0.900775</v>
      </c>
      <c r="AC167" s="79">
        <v>0.8933349999999999</v>
      </c>
      <c r="AD167" s="79">
        <v>1.129172292022751</v>
      </c>
    </row>
    <row r="168" spans="19:30" ht="13.5" customHeight="1">
      <c r="S168" s="52">
        <v>0.81</v>
      </c>
      <c r="T168" s="52">
        <v>0.86</v>
      </c>
      <c r="U168" s="53">
        <v>0.492</v>
      </c>
      <c r="AA168" s="79">
        <f t="shared" si="39"/>
        <v>48</v>
      </c>
      <c r="AB168" s="79">
        <v>0.89345</v>
      </c>
      <c r="AC168" s="79">
        <v>0.8825799999999999</v>
      </c>
      <c r="AD168" s="79">
        <v>1.133558048254042</v>
      </c>
    </row>
    <row r="169" spans="19:30" ht="13.5" customHeight="1">
      <c r="S169" s="52">
        <v>0.815</v>
      </c>
      <c r="T169" s="52">
        <v>0.865</v>
      </c>
      <c r="U169" s="53">
        <f>(U168+U170)/2</f>
        <v>0.5045</v>
      </c>
      <c r="AA169" s="79">
        <f t="shared" si="39"/>
        <v>49</v>
      </c>
      <c r="AB169" s="79">
        <v>0.8860950000000001</v>
      </c>
      <c r="AC169" s="79">
        <v>0.8717</v>
      </c>
      <c r="AD169" s="79">
        <v>1.1380704237889927</v>
      </c>
    </row>
    <row r="170" spans="19:30" ht="13.5" customHeight="1">
      <c r="S170" s="52">
        <v>0.82</v>
      </c>
      <c r="T170" s="52">
        <v>0.87</v>
      </c>
      <c r="U170" s="53">
        <v>0.517</v>
      </c>
      <c r="AA170" s="79">
        <f t="shared" si="39"/>
        <v>50</v>
      </c>
      <c r="AB170" s="79">
        <v>0.878755</v>
      </c>
      <c r="AC170" s="79">
        <v>0.8608200000000004</v>
      </c>
      <c r="AD170" s="79">
        <v>1.1426314788015368</v>
      </c>
    </row>
    <row r="171" spans="19:30" ht="13.5" customHeight="1">
      <c r="S171" s="52">
        <v>0.825</v>
      </c>
      <c r="T171" s="52">
        <v>0.875</v>
      </c>
      <c r="U171" s="53">
        <f>(U170+U172)/2</f>
        <v>0.5335000000000001</v>
      </c>
      <c r="AA171" s="79">
        <f t="shared" si="39"/>
        <v>51</v>
      </c>
      <c r="AB171" s="79">
        <v>0.87142</v>
      </c>
      <c r="AC171" s="79">
        <v>0.8499549999999998</v>
      </c>
      <c r="AD171" s="79">
        <v>1.1474150230473261</v>
      </c>
    </row>
    <row r="172" spans="19:30" ht="13.5" customHeight="1">
      <c r="S172" s="52">
        <v>0.83</v>
      </c>
      <c r="T172" s="52">
        <v>0.88</v>
      </c>
      <c r="U172" s="53">
        <v>0.55</v>
      </c>
      <c r="AA172" s="79">
        <f t="shared" si="39"/>
        <v>52</v>
      </c>
      <c r="AB172" s="79">
        <v>0.8641400000000001</v>
      </c>
      <c r="AC172" s="79">
        <v>0.8390749999999999</v>
      </c>
      <c r="AD172" s="79">
        <v>1.1522984100900724</v>
      </c>
    </row>
    <row r="173" spans="19:30" ht="13.5" customHeight="1">
      <c r="S173" s="52">
        <v>0.835</v>
      </c>
      <c r="T173" s="52">
        <v>0.885</v>
      </c>
      <c r="U173" s="53">
        <f>(U172+U174)/2</f>
        <v>0.5665</v>
      </c>
      <c r="AA173" s="140">
        <f t="shared" si="39"/>
        <v>53</v>
      </c>
      <c r="AB173" s="140">
        <v>0.856855</v>
      </c>
      <c r="AC173" s="140">
        <v>0.8282</v>
      </c>
      <c r="AD173" s="140">
        <v>1.1573725477577201</v>
      </c>
    </row>
    <row r="174" spans="19:30" ht="13.5" customHeight="1">
      <c r="S174" s="52">
        <v>0.84</v>
      </c>
      <c r="T174" s="52">
        <v>0.89</v>
      </c>
      <c r="U174" s="53">
        <v>0.583</v>
      </c>
      <c r="AA174" s="79">
        <f t="shared" si="39"/>
        <v>54</v>
      </c>
      <c r="AB174" s="79">
        <v>0.8495200000000003</v>
      </c>
      <c r="AC174" s="79">
        <v>0.8173199999999999</v>
      </c>
      <c r="AD174" s="79">
        <v>1.162515247111288</v>
      </c>
    </row>
    <row r="175" spans="19:30" ht="13.5" customHeight="1">
      <c r="S175" s="52">
        <v>0.85</v>
      </c>
      <c r="T175" s="52">
        <v>0.895</v>
      </c>
      <c r="U175" s="53">
        <f>(U174+U176)/2</f>
        <v>0.6</v>
      </c>
      <c r="AA175" s="79">
        <f t="shared" si="39"/>
        <v>55</v>
      </c>
      <c r="AB175" s="79">
        <v>0.842235</v>
      </c>
      <c r="AC175" s="79">
        <v>0.8064449999999999</v>
      </c>
      <c r="AD175" s="79">
        <v>1.1678080646144158</v>
      </c>
    </row>
    <row r="176" spans="19:30" ht="13.5" customHeight="1">
      <c r="S176" s="52">
        <v>0.86</v>
      </c>
      <c r="T176" s="52">
        <v>0.9</v>
      </c>
      <c r="U176" s="53">
        <v>0.617</v>
      </c>
      <c r="AA176" s="79">
        <f t="shared" si="39"/>
        <v>56</v>
      </c>
      <c r="AB176" s="79">
        <v>0.83493</v>
      </c>
      <c r="AC176" s="79">
        <v>0.79557</v>
      </c>
      <c r="AD176" s="79">
        <v>1.1731787944049252</v>
      </c>
    </row>
    <row r="177" spans="19:30" ht="13.5" customHeight="1">
      <c r="S177" s="52">
        <v>0.865</v>
      </c>
      <c r="T177" s="52">
        <v>0.905</v>
      </c>
      <c r="U177" s="53">
        <f>(U176+U178)/2</f>
        <v>0.6335</v>
      </c>
      <c r="AA177" s="79">
        <f t="shared" si="39"/>
        <v>57</v>
      </c>
      <c r="AB177" s="79">
        <v>0.82767</v>
      </c>
      <c r="AC177" s="79">
        <v>0.7846900000000001</v>
      </c>
      <c r="AD177" s="79">
        <v>1.1788374366293763</v>
      </c>
    </row>
    <row r="178" spans="19:30" ht="13.5" customHeight="1">
      <c r="S178" s="52">
        <v>0.87</v>
      </c>
      <c r="T178" s="52">
        <v>0.91</v>
      </c>
      <c r="U178" s="53">
        <v>0.65</v>
      </c>
      <c r="AA178" s="79">
        <f t="shared" si="39"/>
        <v>58</v>
      </c>
      <c r="AB178" s="79">
        <v>0.820415</v>
      </c>
      <c r="AC178" s="79">
        <v>0.7738149999999999</v>
      </c>
      <c r="AD178" s="79">
        <v>1.1845619342730098</v>
      </c>
    </row>
    <row r="179" spans="19:30" ht="13.5" customHeight="1">
      <c r="S179" s="52">
        <v>0.875</v>
      </c>
      <c r="T179" s="52">
        <v>0.915</v>
      </c>
      <c r="U179" s="53">
        <f>(U178+U180)/2</f>
        <v>0.6665000000000001</v>
      </c>
      <c r="AA179" s="79">
        <f t="shared" si="39"/>
        <v>59</v>
      </c>
      <c r="AB179" s="79">
        <v>0.813105</v>
      </c>
      <c r="AC179" s="79">
        <v>0.76294</v>
      </c>
      <c r="AD179" s="79">
        <v>1.1904607675757455</v>
      </c>
    </row>
    <row r="180" spans="19:30" ht="13.5" customHeight="1">
      <c r="S180" s="52">
        <v>0.88</v>
      </c>
      <c r="T180" s="52">
        <v>0.92</v>
      </c>
      <c r="U180" s="53">
        <v>0.683</v>
      </c>
      <c r="AA180" s="79">
        <f t="shared" si="39"/>
        <v>60</v>
      </c>
      <c r="AB180" s="79">
        <v>0.8058549999999997</v>
      </c>
      <c r="AC180" s="79">
        <v>0.7520400000000003</v>
      </c>
      <c r="AD180" s="79">
        <v>1.1966916605638436</v>
      </c>
    </row>
    <row r="181" spans="19:30" ht="13.5" customHeight="1">
      <c r="S181" s="52">
        <v>0.89</v>
      </c>
      <c r="T181" s="52">
        <v>0.925</v>
      </c>
      <c r="U181" s="53">
        <f>(U180+U182)/2</f>
        <v>0.7030000000000001</v>
      </c>
      <c r="AA181" s="79">
        <f t="shared" si="39"/>
        <v>61</v>
      </c>
      <c r="AB181" s="79">
        <v>0.79857</v>
      </c>
      <c r="AC181" s="79">
        <v>0.7411399999999999</v>
      </c>
      <c r="AD181" s="79">
        <v>1.2030490091484562</v>
      </c>
    </row>
    <row r="182" spans="19:30" ht="13.5" customHeight="1">
      <c r="S182" s="52">
        <v>0.9</v>
      </c>
      <c r="T182" s="52">
        <v>0.93</v>
      </c>
      <c r="U182" s="53">
        <v>0.723</v>
      </c>
      <c r="AA182" s="79">
        <f t="shared" si="39"/>
        <v>62</v>
      </c>
      <c r="AB182" s="79">
        <v>0.7913450000000002</v>
      </c>
      <c r="AC182" s="79">
        <v>0.7302099999999999</v>
      </c>
      <c r="AD182" s="79">
        <v>1.2098220971841078</v>
      </c>
    </row>
    <row r="183" spans="19:30" ht="13.5" customHeight="1">
      <c r="S183" s="52">
        <v>0.905</v>
      </c>
      <c r="T183" s="52">
        <v>0.935</v>
      </c>
      <c r="U183" s="53">
        <f>(U182+U184)/2</f>
        <v>0.743</v>
      </c>
      <c r="AA183" s="79">
        <f t="shared" si="39"/>
        <v>63</v>
      </c>
      <c r="AB183" s="79">
        <v>0.7841249999999998</v>
      </c>
      <c r="AC183" s="79">
        <v>0.71926</v>
      </c>
      <c r="AD183" s="79">
        <v>1.217016414708865</v>
      </c>
    </row>
    <row r="184" spans="19:30" ht="13.5" customHeight="1">
      <c r="S184" s="52">
        <v>0.91</v>
      </c>
      <c r="T184" s="52">
        <v>0.94</v>
      </c>
      <c r="U184" s="53">
        <v>0.763</v>
      </c>
      <c r="AA184" s="79">
        <f t="shared" si="39"/>
        <v>64</v>
      </c>
      <c r="AB184" s="79">
        <v>0.776845</v>
      </c>
      <c r="AC184" s="79">
        <v>0.70828</v>
      </c>
      <c r="AD184" s="79">
        <v>1.2244938647087975</v>
      </c>
    </row>
    <row r="185" spans="19:30" ht="12">
      <c r="S185" s="52">
        <v>0.915</v>
      </c>
      <c r="T185" s="52">
        <v>0.945</v>
      </c>
      <c r="U185" s="53">
        <f>(U184+U186)/2</f>
        <v>0.7815000000000001</v>
      </c>
      <c r="AA185" s="79">
        <f t="shared" si="39"/>
        <v>65</v>
      </c>
      <c r="AB185" s="79">
        <v>0.7696049999999999</v>
      </c>
      <c r="AC185" s="79">
        <v>0.6972849999999997</v>
      </c>
      <c r="AD185" s="79">
        <v>1.2323129098374415</v>
      </c>
    </row>
    <row r="186" spans="19:30" ht="12">
      <c r="S186" s="52">
        <v>0.92</v>
      </c>
      <c r="T186" s="52">
        <v>0.95</v>
      </c>
      <c r="U186" s="53">
        <v>0.8</v>
      </c>
      <c r="AA186" s="79">
        <f t="shared" si="39"/>
        <v>66</v>
      </c>
      <c r="AB186" s="79">
        <v>0.7623350000000002</v>
      </c>
      <c r="AC186" s="79">
        <v>0.6862700000000002</v>
      </c>
      <c r="AD186" s="79">
        <v>1.2405004048644512</v>
      </c>
    </row>
    <row r="187" spans="19:30" ht="12">
      <c r="S187" s="52">
        <v>0.925</v>
      </c>
      <c r="T187" s="52">
        <v>0.955</v>
      </c>
      <c r="U187" s="53">
        <f>(U186+U188)/2</f>
        <v>0.8200000000000001</v>
      </c>
      <c r="AA187" s="79">
        <f t="shared" si="39"/>
        <v>67</v>
      </c>
      <c r="AB187" s="79">
        <v>0.755105</v>
      </c>
      <c r="AC187" s="79">
        <v>0.675215</v>
      </c>
      <c r="AD187" s="79">
        <v>1.2493166973438559</v>
      </c>
    </row>
    <row r="188" spans="19:30" ht="12">
      <c r="S188" s="52">
        <v>0.93</v>
      </c>
      <c r="T188" s="52">
        <v>0.96</v>
      </c>
      <c r="U188" s="53">
        <v>0.84</v>
      </c>
      <c r="AA188" s="79">
        <f t="shared" si="39"/>
        <v>68</v>
      </c>
      <c r="AB188" s="79">
        <v>0.7478299999999999</v>
      </c>
      <c r="AC188" s="79">
        <v>0.6641299999999999</v>
      </c>
      <c r="AD188" s="79">
        <v>1.2585468424845012</v>
      </c>
    </row>
    <row r="189" spans="19:30" ht="12">
      <c r="S189" s="52">
        <v>0.935</v>
      </c>
      <c r="T189" s="52">
        <v>0.965</v>
      </c>
      <c r="U189" s="53">
        <f>(U188+U190)/2</f>
        <v>0.8614999999999999</v>
      </c>
      <c r="AA189" s="79">
        <f t="shared" si="39"/>
        <v>69</v>
      </c>
      <c r="AB189" s="79">
        <v>0.7402399999999998</v>
      </c>
      <c r="AC189" s="79">
        <v>0.6530050000000001</v>
      </c>
      <c r="AD189" s="79">
        <v>1.2681107288322686</v>
      </c>
    </row>
    <row r="190" spans="19:30" ht="12">
      <c r="S190" s="52">
        <v>0.94</v>
      </c>
      <c r="T190" s="52">
        <v>0.97</v>
      </c>
      <c r="U190" s="53">
        <v>0.883</v>
      </c>
      <c r="AA190" s="79">
        <f aca="true" t="shared" si="40" ref="AA190:AA220">+AA189+1</f>
        <v>70</v>
      </c>
      <c r="AB190" s="79">
        <v>0.73225</v>
      </c>
      <c r="AC190" s="79">
        <v>0.6418250000000001</v>
      </c>
      <c r="AD190" s="79">
        <v>1.2779652156771086</v>
      </c>
    </row>
    <row r="191" spans="19:30" ht="12">
      <c r="S191" s="52">
        <v>0.95</v>
      </c>
      <c r="T191" s="52">
        <v>0.975</v>
      </c>
      <c r="U191" s="53">
        <f>(U190+U192)/2</f>
        <v>0.9</v>
      </c>
      <c r="AA191" s="79">
        <f t="shared" si="40"/>
        <v>71</v>
      </c>
      <c r="AB191" s="79">
        <v>0.72355</v>
      </c>
      <c r="AC191" s="79">
        <v>0.6306100000000001</v>
      </c>
      <c r="AD191" s="79">
        <v>1.2879059805188215</v>
      </c>
    </row>
    <row r="192" spans="19:30" ht="12">
      <c r="S192" s="52">
        <v>0.96</v>
      </c>
      <c r="T192" s="52">
        <v>0.98</v>
      </c>
      <c r="U192" s="53">
        <v>0.917</v>
      </c>
      <c r="AA192" s="79">
        <f t="shared" si="40"/>
        <v>72</v>
      </c>
      <c r="AB192" s="79">
        <v>0.7142050000000001</v>
      </c>
      <c r="AC192" s="79">
        <v>0.619325</v>
      </c>
      <c r="AD192" s="79">
        <v>1.297432021413442</v>
      </c>
    </row>
    <row r="193" spans="19:30" ht="12">
      <c r="S193" s="52">
        <v>0.97</v>
      </c>
      <c r="T193" s="52">
        <v>0.985</v>
      </c>
      <c r="U193" s="53">
        <f>(U192+U194)/2</f>
        <v>0.9385</v>
      </c>
      <c r="AA193" s="79">
        <f t="shared" si="40"/>
        <v>73</v>
      </c>
      <c r="AB193" s="79">
        <v>0.7041949999999999</v>
      </c>
      <c r="AC193" s="79">
        <v>0.60797</v>
      </c>
      <c r="AD193" s="79">
        <v>1.3063325239323427</v>
      </c>
    </row>
    <row r="194" spans="19:30" ht="12">
      <c r="S194" s="52">
        <v>0.98</v>
      </c>
      <c r="T194" s="52">
        <v>0.99</v>
      </c>
      <c r="U194" s="53">
        <v>0.96</v>
      </c>
      <c r="AA194" s="79">
        <f t="shared" si="40"/>
        <v>74</v>
      </c>
      <c r="AB194" s="79">
        <v>0.693625</v>
      </c>
      <c r="AC194" s="79">
        <v>0.5965499999999999</v>
      </c>
      <c r="AD194" s="79">
        <v>1.3148164676024179</v>
      </c>
    </row>
    <row r="195" spans="19:30" ht="12">
      <c r="S195" s="52">
        <v>0.99</v>
      </c>
      <c r="T195" s="52">
        <v>0.995</v>
      </c>
      <c r="U195" s="53">
        <f>(U194+U196)/2</f>
        <v>0.98</v>
      </c>
      <c r="AA195" s="79">
        <f t="shared" si="40"/>
        <v>75</v>
      </c>
      <c r="AB195" s="79">
        <v>0.6823949999999999</v>
      </c>
      <c r="AC195" s="79">
        <v>0.5850199999999999</v>
      </c>
      <c r="AD195" s="79">
        <v>1.322880608505309</v>
      </c>
    </row>
    <row r="196" spans="19:30" ht="12">
      <c r="S196" s="52">
        <v>1</v>
      </c>
      <c r="T196" s="52">
        <v>1</v>
      </c>
      <c r="U196" s="53">
        <v>1</v>
      </c>
      <c r="AA196" s="79">
        <f t="shared" si="40"/>
        <v>76</v>
      </c>
      <c r="AB196" s="79">
        <v>0.6706400000000002</v>
      </c>
      <c r="AC196" s="79">
        <v>0.5733750000000002</v>
      </c>
      <c r="AD196" s="79">
        <v>1.3305203853755905</v>
      </c>
    </row>
    <row r="197" spans="19:30" ht="12">
      <c r="S197" s="52">
        <v>1.025</v>
      </c>
      <c r="T197" s="52">
        <v>1</v>
      </c>
      <c r="U197" s="53">
        <f>(U196+U198)/2</f>
        <v>1.125</v>
      </c>
      <c r="AA197" s="79">
        <f t="shared" si="40"/>
        <v>77</v>
      </c>
      <c r="AB197" s="79">
        <v>0.6582399999999999</v>
      </c>
      <c r="AC197" s="79">
        <v>0.5615750000000002</v>
      </c>
      <c r="AD197" s="79">
        <v>1.337972894940474</v>
      </c>
    </row>
    <row r="198" spans="19:30" ht="12">
      <c r="S198" s="52">
        <v>1.05</v>
      </c>
      <c r="T198" s="52">
        <v>1</v>
      </c>
      <c r="U198" s="53">
        <v>1.25</v>
      </c>
      <c r="AA198" s="79">
        <f t="shared" si="40"/>
        <v>78</v>
      </c>
      <c r="AB198" s="79">
        <v>0.645235</v>
      </c>
      <c r="AC198" s="79">
        <v>0.5496399999999999</v>
      </c>
      <c r="AD198" s="79">
        <v>1.3451037667463153</v>
      </c>
    </row>
    <row r="199" spans="19:30" ht="12">
      <c r="S199" s="52">
        <v>1.075</v>
      </c>
      <c r="T199" s="52">
        <v>1</v>
      </c>
      <c r="U199" s="53">
        <f>(U198+U200)/2</f>
        <v>1.375</v>
      </c>
      <c r="AA199" s="79">
        <f t="shared" si="40"/>
        <v>79</v>
      </c>
      <c r="AB199" s="79">
        <v>0.6316249999999999</v>
      </c>
      <c r="AC199" s="79">
        <v>0.5375600000000003</v>
      </c>
      <c r="AD199" s="79">
        <v>1.3518063160650036</v>
      </c>
    </row>
    <row r="200" spans="19:30" ht="12">
      <c r="S200" s="52">
        <v>1.1</v>
      </c>
      <c r="T200" s="52">
        <v>1</v>
      </c>
      <c r="U200" s="53">
        <v>1.5</v>
      </c>
      <c r="AA200" s="79">
        <f t="shared" si="40"/>
        <v>80</v>
      </c>
      <c r="AB200" s="79">
        <v>0.6173400000000001</v>
      </c>
      <c r="AC200" s="79">
        <v>0.524945</v>
      </c>
      <c r="AD200" s="79">
        <v>1.3587766800050907</v>
      </c>
    </row>
    <row r="201" spans="19:30" ht="12">
      <c r="S201" s="52">
        <v>1.125</v>
      </c>
      <c r="T201" s="52">
        <v>1</v>
      </c>
      <c r="U201" s="53">
        <f>(U200+U202)/2</f>
        <v>1.625</v>
      </c>
      <c r="AA201" s="79">
        <f t="shared" si="40"/>
        <v>81</v>
      </c>
      <c r="AB201" s="79">
        <v>0.6021549999999998</v>
      </c>
      <c r="AC201" s="79">
        <v>0.5114650000000001</v>
      </c>
      <c r="AD201" s="79">
        <v>1.366152308646888</v>
      </c>
    </row>
    <row r="202" spans="19:30" ht="12">
      <c r="S202" s="52">
        <v>1.15</v>
      </c>
      <c r="T202" s="52">
        <v>1</v>
      </c>
      <c r="U202" s="53">
        <v>1.75</v>
      </c>
      <c r="AA202" s="79">
        <f t="shared" si="40"/>
        <v>82</v>
      </c>
      <c r="AB202" s="79">
        <v>0.5863099999999999</v>
      </c>
      <c r="AC202" s="79">
        <v>0.4970250000000001</v>
      </c>
      <c r="AD202" s="79">
        <v>1.3741058437003806</v>
      </c>
    </row>
    <row r="203" spans="19:30" ht="12">
      <c r="S203" s="52">
        <v>1.175</v>
      </c>
      <c r="T203" s="52">
        <v>1</v>
      </c>
      <c r="U203" s="53">
        <f>(U202+U204)/2</f>
        <v>1.925</v>
      </c>
      <c r="AA203" s="79">
        <f t="shared" si="40"/>
        <v>83</v>
      </c>
      <c r="AB203" s="79">
        <v>0.5698999999999999</v>
      </c>
      <c r="AC203" s="79">
        <v>0.4816349999999999</v>
      </c>
      <c r="AD203" s="79">
        <v>1.3829957252055098</v>
      </c>
    </row>
    <row r="204" spans="19:30" ht="12.75" thickBot="1">
      <c r="S204" s="54">
        <v>1.2</v>
      </c>
      <c r="T204" s="54">
        <v>1</v>
      </c>
      <c r="U204" s="55">
        <v>2.1</v>
      </c>
      <c r="AA204" s="79">
        <f t="shared" si="40"/>
        <v>84</v>
      </c>
      <c r="AB204" s="79">
        <v>0.55284</v>
      </c>
      <c r="AC204" s="79">
        <v>0.46529500000000007</v>
      </c>
      <c r="AD204" s="79">
        <v>1.392674208509316</v>
      </c>
    </row>
    <row r="205" spans="27:30" ht="12">
      <c r="AA205" s="79">
        <f t="shared" si="40"/>
        <v>85</v>
      </c>
      <c r="AB205" s="79">
        <v>0.5351199999999999</v>
      </c>
      <c r="AC205" s="79">
        <v>0.44801000000000013</v>
      </c>
      <c r="AD205" s="79">
        <v>1.403242106501435</v>
      </c>
    </row>
    <row r="206" spans="27:30" ht="12">
      <c r="AA206" s="79">
        <f t="shared" si="40"/>
        <v>86</v>
      </c>
      <c r="AB206" s="79">
        <v>0.5164699999999998</v>
      </c>
      <c r="AC206" s="79">
        <v>0.4297749999999999</v>
      </c>
      <c r="AD206" s="79">
        <v>1.4147440332799812</v>
      </c>
    </row>
    <row r="207" spans="27:30" ht="12">
      <c r="AA207" s="79">
        <f t="shared" si="40"/>
        <v>87</v>
      </c>
      <c r="AB207" s="79">
        <v>0.497215</v>
      </c>
      <c r="AC207" s="79">
        <v>0.41059</v>
      </c>
      <c r="AD207" s="79">
        <v>1.4277342805187354</v>
      </c>
    </row>
    <row r="208" spans="27:30" ht="12">
      <c r="AA208" s="79">
        <f t="shared" si="40"/>
        <v>88</v>
      </c>
      <c r="AB208" s="79">
        <v>0.477305</v>
      </c>
      <c r="AC208" s="79">
        <v>0.39044</v>
      </c>
      <c r="AD208" s="79">
        <v>1.4422837922604064</v>
      </c>
    </row>
    <row r="209" spans="27:30" ht="12">
      <c r="AA209" s="79">
        <f t="shared" si="40"/>
        <v>89</v>
      </c>
      <c r="AB209" s="79">
        <v>0.45678</v>
      </c>
      <c r="AC209" s="79">
        <v>0.369355</v>
      </c>
      <c r="AD209" s="79">
        <v>1.458502971530871</v>
      </c>
    </row>
    <row r="210" spans="27:30" ht="12">
      <c r="AA210" s="79">
        <f t="shared" si="40"/>
        <v>90</v>
      </c>
      <c r="AB210" s="79">
        <v>0.43565000000000004</v>
      </c>
      <c r="AC210" s="79">
        <v>0.34731</v>
      </c>
      <c r="AD210" s="79">
        <v>1.4773975758475166</v>
      </c>
    </row>
    <row r="211" spans="27:30" ht="12">
      <c r="AA211" s="79">
        <f t="shared" si="40"/>
        <v>91</v>
      </c>
      <c r="AB211" s="79">
        <v>0.41369999999999996</v>
      </c>
      <c r="AC211" s="79">
        <v>0.32433000000000006</v>
      </c>
      <c r="AD211" s="79">
        <v>1.4989412687588088</v>
      </c>
    </row>
    <row r="212" spans="27:30" ht="12">
      <c r="AA212" s="79">
        <f t="shared" si="40"/>
        <v>92</v>
      </c>
      <c r="AB212" s="79">
        <v>0.39112</v>
      </c>
      <c r="AC212" s="79">
        <v>0.30039000000000005</v>
      </c>
      <c r="AD212" s="79">
        <v>1.5241236705597596</v>
      </c>
    </row>
    <row r="213" spans="27:30" ht="12">
      <c r="AA213" s="79">
        <f t="shared" si="40"/>
        <v>93</v>
      </c>
      <c r="AB213" s="79">
        <v>0.3679650000000001</v>
      </c>
      <c r="AC213" s="79">
        <v>0.2755</v>
      </c>
      <c r="AD213" s="79">
        <v>1.5547475839811398</v>
      </c>
    </row>
    <row r="214" spans="27:30" ht="12">
      <c r="AA214" s="79">
        <f t="shared" si="40"/>
        <v>94</v>
      </c>
      <c r="AB214" s="79">
        <v>0.34413</v>
      </c>
      <c r="AC214" s="79">
        <v>0.24965499999999996</v>
      </c>
      <c r="AD214" s="79">
        <v>1.5919524619508592</v>
      </c>
    </row>
    <row r="215" spans="27:30" ht="12">
      <c r="AA215" s="79">
        <f t="shared" si="40"/>
        <v>95</v>
      </c>
      <c r="AB215" s="79">
        <v>0.31968499999999994</v>
      </c>
      <c r="AC215" s="79">
        <v>0.222865</v>
      </c>
      <c r="AD215" s="79">
        <v>1.6386570000581777</v>
      </c>
    </row>
    <row r="216" spans="27:30" ht="12">
      <c r="AA216" s="79">
        <f t="shared" si="40"/>
        <v>96</v>
      </c>
      <c r="AB216" s="79">
        <v>0.2951100000000001</v>
      </c>
      <c r="AC216" s="79">
        <v>0.19513</v>
      </c>
      <c r="AD216" s="79">
        <v>1.6997400352480825</v>
      </c>
    </row>
    <row r="217" spans="27:30" ht="12">
      <c r="AA217" s="79">
        <f t="shared" si="40"/>
        <v>97</v>
      </c>
      <c r="AB217" s="79">
        <v>0.26987</v>
      </c>
      <c r="AC217" s="79">
        <v>0.16643999999999998</v>
      </c>
      <c r="AD217" s="79">
        <v>1.7835279560910366</v>
      </c>
    </row>
    <row r="218" spans="27:30" ht="12">
      <c r="AA218" s="79">
        <f t="shared" si="40"/>
        <v>98</v>
      </c>
      <c r="AB218" s="79">
        <v>0.24398499999999998</v>
      </c>
      <c r="AC218" s="79">
        <v>0.136795</v>
      </c>
      <c r="AD218" s="79">
        <v>1.9064498993359598</v>
      </c>
    </row>
    <row r="219" spans="27:30" ht="12">
      <c r="AA219" s="79">
        <f t="shared" si="40"/>
        <v>99</v>
      </c>
      <c r="AB219" s="79">
        <v>0.21752999999999995</v>
      </c>
      <c r="AC219" s="79">
        <v>0.10621499999999999</v>
      </c>
      <c r="AD219" s="79">
        <v>2.106337392250099</v>
      </c>
    </row>
    <row r="220" spans="27:30" ht="12">
      <c r="AA220" s="79">
        <f t="shared" si="40"/>
        <v>100</v>
      </c>
      <c r="AB220" s="79">
        <v>0.190425</v>
      </c>
      <c r="AC220" s="79">
        <v>0.07465500000000001</v>
      </c>
      <c r="AD220" s="79">
        <v>2.5035088593837815</v>
      </c>
    </row>
  </sheetData>
  <sheetProtection sheet="1" objects="1" scenarios="1" formatRows="0"/>
  <mergeCells count="173">
    <mergeCell ref="K95:L95"/>
    <mergeCell ref="P79:Q79"/>
    <mergeCell ref="Q70:R70"/>
    <mergeCell ref="Q71:R71"/>
    <mergeCell ref="J73:K73"/>
    <mergeCell ref="P78:Q78"/>
    <mergeCell ref="M79:O79"/>
    <mergeCell ref="M75:N75"/>
    <mergeCell ref="P77:Q77"/>
    <mergeCell ref="E101:F101"/>
    <mergeCell ref="B105:L105"/>
    <mergeCell ref="E102:F102"/>
    <mergeCell ref="B102:D102"/>
    <mergeCell ref="I102:J102"/>
    <mergeCell ref="G102:H102"/>
    <mergeCell ref="I104:J104"/>
    <mergeCell ref="B104:D104"/>
    <mergeCell ref="I101:J101"/>
    <mergeCell ref="G104:H104"/>
    <mergeCell ref="Q47:R47"/>
    <mergeCell ref="O74:O75"/>
    <mergeCell ref="B101:D101"/>
    <mergeCell ref="B100:D100"/>
    <mergeCell ref="B99:D99"/>
    <mergeCell ref="P87:R87"/>
    <mergeCell ref="P92:R92"/>
    <mergeCell ref="K94:L94"/>
    <mergeCell ref="E100:F100"/>
    <mergeCell ref="Q2:R2"/>
    <mergeCell ref="G2:M3"/>
    <mergeCell ref="Q3:R3"/>
    <mergeCell ref="M89:O89"/>
    <mergeCell ref="P82:R82"/>
    <mergeCell ref="M83:O83"/>
    <mergeCell ref="M84:N84"/>
    <mergeCell ref="B47:K47"/>
    <mergeCell ref="B84:C84"/>
    <mergeCell ref="B75:K75"/>
    <mergeCell ref="B117:C117"/>
    <mergeCell ref="B115:C115"/>
    <mergeCell ref="B116:C116"/>
    <mergeCell ref="B112:C112"/>
    <mergeCell ref="B114:C114"/>
    <mergeCell ref="B113:C113"/>
    <mergeCell ref="B110:C110"/>
    <mergeCell ref="K96:L96"/>
    <mergeCell ref="I96:J96"/>
    <mergeCell ref="G96:H96"/>
    <mergeCell ref="I99:J99"/>
    <mergeCell ref="B98:L98"/>
    <mergeCell ref="E99:F99"/>
    <mergeCell ref="B108:C108"/>
    <mergeCell ref="G103:H103"/>
    <mergeCell ref="I103:J103"/>
    <mergeCell ref="M87:N87"/>
    <mergeCell ref="E111:J111"/>
    <mergeCell ref="B107:L107"/>
    <mergeCell ref="E104:F104"/>
    <mergeCell ref="E103:F103"/>
    <mergeCell ref="B103:D103"/>
    <mergeCell ref="I95:J95"/>
    <mergeCell ref="G95:H95"/>
    <mergeCell ref="B111:C111"/>
    <mergeCell ref="B109:C109"/>
    <mergeCell ref="M81:N81"/>
    <mergeCell ref="M98:N98"/>
    <mergeCell ref="M95:N95"/>
    <mergeCell ref="I94:J94"/>
    <mergeCell ref="J87:K87"/>
    <mergeCell ref="B89:F89"/>
    <mergeCell ref="B86:C86"/>
    <mergeCell ref="B85:C85"/>
    <mergeCell ref="M94:O94"/>
    <mergeCell ref="M91:N91"/>
    <mergeCell ref="B94:F94"/>
    <mergeCell ref="G94:H94"/>
    <mergeCell ref="I93:J93"/>
    <mergeCell ref="B95:E95"/>
    <mergeCell ref="G99:H99"/>
    <mergeCell ref="B96:E96"/>
    <mergeCell ref="M74:N74"/>
    <mergeCell ref="Q100:R100"/>
    <mergeCell ref="K93:L93"/>
    <mergeCell ref="K89:L89"/>
    <mergeCell ref="B87:I87"/>
    <mergeCell ref="B77:C77"/>
    <mergeCell ref="B78:C78"/>
    <mergeCell ref="I100:J100"/>
    <mergeCell ref="B93:F93"/>
    <mergeCell ref="G93:H93"/>
    <mergeCell ref="Q101:R101"/>
    <mergeCell ref="P97:R97"/>
    <mergeCell ref="Q99:R99"/>
    <mergeCell ref="P98:R98"/>
    <mergeCell ref="P86:R86"/>
    <mergeCell ref="M80:N80"/>
    <mergeCell ref="P85:Q85"/>
    <mergeCell ref="O84:O86"/>
    <mergeCell ref="M97:N97"/>
    <mergeCell ref="M96:N96"/>
    <mergeCell ref="N70:O70"/>
    <mergeCell ref="M76:O76"/>
    <mergeCell ref="B45:R45"/>
    <mergeCell ref="B49:C49"/>
    <mergeCell ref="B60:C60"/>
    <mergeCell ref="P73:R73"/>
    <mergeCell ref="P76:Q76"/>
    <mergeCell ref="M73:O73"/>
    <mergeCell ref="B63:E63"/>
    <mergeCell ref="B64:D64"/>
    <mergeCell ref="F63:K63"/>
    <mergeCell ref="F69:K69"/>
    <mergeCell ref="B68:L68"/>
    <mergeCell ref="B67:F67"/>
    <mergeCell ref="B69:E69"/>
    <mergeCell ref="D9:E9"/>
    <mergeCell ref="B17:R17"/>
    <mergeCell ref="B9:C9"/>
    <mergeCell ref="M42:R42"/>
    <mergeCell ref="B50:C50"/>
    <mergeCell ref="B59:C59"/>
    <mergeCell ref="B57:C57"/>
    <mergeCell ref="B58:C58"/>
    <mergeCell ref="B54:C54"/>
    <mergeCell ref="B8:C8"/>
    <mergeCell ref="B51:L51"/>
    <mergeCell ref="H9:I9"/>
    <mergeCell ref="F10:I10"/>
    <mergeCell ref="P44:R44"/>
    <mergeCell ref="P43:R43"/>
    <mergeCell ref="M44:O44"/>
    <mergeCell ref="M27:Q27"/>
    <mergeCell ref="B61:L61"/>
    <mergeCell ref="N47:P47"/>
    <mergeCell ref="M43:O43"/>
    <mergeCell ref="B48:C48"/>
    <mergeCell ref="B55:C55"/>
    <mergeCell ref="B56:C56"/>
    <mergeCell ref="G4:M4"/>
    <mergeCell ref="F8:G8"/>
    <mergeCell ref="Q4:R4"/>
    <mergeCell ref="E7:G7"/>
    <mergeCell ref="I6:J6"/>
    <mergeCell ref="L5:N5"/>
    <mergeCell ref="D8:E8"/>
    <mergeCell ref="H8:I8"/>
    <mergeCell ref="D73:E73"/>
    <mergeCell ref="B76:C76"/>
    <mergeCell ref="B70:E70"/>
    <mergeCell ref="F82:G82"/>
    <mergeCell ref="B81:L81"/>
    <mergeCell ref="B79:L79"/>
    <mergeCell ref="B71:E71"/>
    <mergeCell ref="S121:AD121"/>
    <mergeCell ref="AA123:AD123"/>
    <mergeCell ref="B5:D5"/>
    <mergeCell ref="B65:D65"/>
    <mergeCell ref="B66:D66"/>
    <mergeCell ref="B83:C83"/>
    <mergeCell ref="B82:C82"/>
    <mergeCell ref="B53:K53"/>
    <mergeCell ref="I82:J82"/>
    <mergeCell ref="B72:E72"/>
    <mergeCell ref="G101:H101"/>
    <mergeCell ref="G100:H100"/>
    <mergeCell ref="X134:Y134"/>
    <mergeCell ref="Q102:R102"/>
    <mergeCell ref="Q104:R104"/>
    <mergeCell ref="Q106:R106"/>
    <mergeCell ref="P108:R108"/>
    <mergeCell ref="Q105:R105"/>
    <mergeCell ref="Q107:R107"/>
    <mergeCell ref="P103:R103"/>
  </mergeCells>
  <conditionalFormatting sqref="F73">
    <cfRule type="expression" priority="19" dxfId="0" stopIfTrue="1">
      <formula>'Daniels Tables'!$D$73=FALSE</formula>
    </cfRule>
  </conditionalFormatting>
  <conditionalFormatting sqref="L54">
    <cfRule type="cellIs" priority="9" dxfId="18" operator="equal" stopIfTrue="1">
      <formula>"1 Mile"</formula>
    </cfRule>
  </conditionalFormatting>
  <conditionalFormatting sqref="J54">
    <cfRule type="cellIs" priority="10" dxfId="18" operator="equal" stopIfTrue="1">
      <formula>"1000m"</formula>
    </cfRule>
  </conditionalFormatting>
  <conditionalFormatting sqref="M66">
    <cfRule type="cellIs" priority="11" dxfId="17" operator="greaterThan" stopIfTrue="1">
      <formula>1</formula>
    </cfRule>
  </conditionalFormatting>
  <conditionalFormatting sqref="I6:J6">
    <cfRule type="cellIs" priority="12" dxfId="16" operator="notBetween" stopIfTrue="1">
      <formula>25</formula>
      <formula>85</formula>
    </cfRule>
  </conditionalFormatting>
  <conditionalFormatting sqref="M86">
    <cfRule type="cellIs" priority="13" dxfId="10" operator="lessThan" stopIfTrue="1">
      <formula>18.5</formula>
    </cfRule>
  </conditionalFormatting>
  <conditionalFormatting sqref="R79">
    <cfRule type="cellIs" priority="14" dxfId="10" operator="lessThan" stopIfTrue="1">
      <formula>18.5</formula>
    </cfRule>
  </conditionalFormatting>
  <conditionalFormatting sqref="E5">
    <cfRule type="cellIs" priority="15" dxfId="10" operator="notBetween" stopIfTrue="1">
      <formula>5</formula>
      <formula>100</formula>
    </cfRule>
  </conditionalFormatting>
  <conditionalFormatting sqref="O48 H89 E82 R76">
    <cfRule type="cellIs" priority="16" dxfId="10" operator="equal" stopIfTrue="1">
      <formula>"Birthdate?"</formula>
    </cfRule>
  </conditionalFormatting>
  <conditionalFormatting sqref="R77">
    <cfRule type="cellIs" priority="17" dxfId="10" operator="equal" stopIfTrue="1">
      <formula>"Wght / Hght?"</formula>
    </cfRule>
  </conditionalFormatting>
  <conditionalFormatting sqref="M84:N84">
    <cfRule type="cellIs" priority="18" dxfId="10" operator="equal" stopIfTrue="1">
      <formula>"Current Weight?"</formula>
    </cfRule>
  </conditionalFormatting>
  <conditionalFormatting sqref="M41">
    <cfRule type="expression" priority="30" dxfId="1" stopIfTrue="1">
      <formula>'Daniels Tables'!$N$28=3</formula>
    </cfRule>
  </conditionalFormatting>
  <conditionalFormatting sqref="N41">
    <cfRule type="expression" priority="31" dxfId="1" stopIfTrue="1">
      <formula>OR('Daniels Tables'!$N$28=2,'Daniels Tables'!$N$28=4)</formula>
    </cfRule>
  </conditionalFormatting>
  <conditionalFormatting sqref="O41">
    <cfRule type="expression" priority="32" dxfId="1" stopIfTrue="1">
      <formula>OR('Daniels Tables'!$N$28=1,'Daniels Tables'!$N$28=4)</formula>
    </cfRule>
  </conditionalFormatting>
  <conditionalFormatting sqref="P41">
    <cfRule type="expression" priority="33" dxfId="1" stopIfTrue="1">
      <formula>OR('Daniels Tables'!$N$28=1,'Daniels Tables'!$N$28=2,'Daniels Tables'!$N$28=3)</formula>
    </cfRule>
  </conditionalFormatting>
  <conditionalFormatting sqref="Q31:R40">
    <cfRule type="cellIs" priority="34" dxfId="5" operator="equal" stopIfTrue="1">
      <formula>0</formula>
    </cfRule>
  </conditionalFormatting>
  <conditionalFormatting sqref="M31:M40">
    <cfRule type="expression" priority="35" dxfId="1" stopIfTrue="1">
      <formula>'Daniels Tables'!$R$29=3</formula>
    </cfRule>
  </conditionalFormatting>
  <conditionalFormatting sqref="N31:N40">
    <cfRule type="expression" priority="36" dxfId="1" stopIfTrue="1">
      <formula>OR('Daniels Tables'!$R$29=2,'Daniels Tables'!$R$29=4)</formula>
    </cfRule>
  </conditionalFormatting>
  <conditionalFormatting sqref="O31:O40">
    <cfRule type="expression" priority="37" dxfId="1" stopIfTrue="1">
      <formula>OR('Daniels Tables'!$R$29=1,'Daniels Tables'!$R$29=4)</formula>
    </cfRule>
  </conditionalFormatting>
  <conditionalFormatting sqref="P31:P40">
    <cfRule type="expression" priority="38" dxfId="1" stopIfTrue="1">
      <formula>OR('Daniels Tables'!$R$29=1,'Daniels Tables'!$R$29=2,'Daniels Tables'!$R$29=3)</formula>
    </cfRule>
  </conditionalFormatting>
  <conditionalFormatting sqref="L73">
    <cfRule type="expression" priority="39" dxfId="0" stopIfTrue="1">
      <formula>'Daniels Tables'!$J$73=FALSE</formula>
    </cfRule>
  </conditionalFormatting>
  <dataValidations count="4">
    <dataValidation allowBlank="1" showErrorMessage="1" promptTitle="Time Entry" sqref="G6"/>
    <dataValidation type="list" allowBlank="1" showErrorMessage="1" errorTitle="Invalid Entry" error="Please select a distance from the Drop Down Menu" sqref="E6">
      <formula1>'Daniels Tables'!V127:V133</formula1>
    </dataValidation>
    <dataValidation type="date" allowBlank="1" showInputMessage="1" showErrorMessage="1" sqref="E2">
      <formula1>1</formula1>
      <formula2>NOW()</formula2>
    </dataValidation>
    <dataValidation type="whole" allowBlank="1" showInputMessage="1" showErrorMessage="1" sqref="R29">
      <formula1>1</formula1>
      <formula2>4</formula2>
    </dataValidation>
  </dataValidations>
  <hyperlinks>
    <hyperlink ref="N71" r:id="rId1" display="http://www.iaaf.org/statistics/records/index.html"/>
    <hyperlink ref="O71" r:id="rId2" display="RuningUSA"/>
    <hyperlink ref="P71" r:id="rId3" display="ARRS"/>
    <hyperlink ref="B63:D63" r:id="rId4" display="McMillanRunning.com"/>
    <hyperlink ref="B69:E69" r:id="rId5" display="Joe Friel"/>
  </hyperlinks>
  <printOptions/>
  <pageMargins left="0.32" right="0.5" top="0.91" bottom="1" header="0.5" footer="0.5"/>
  <pageSetup fitToHeight="1" fitToWidth="1" horizontalDpi="300" verticalDpi="300" orientation="landscape" scale="95"/>
  <legacyDrawing r:id="rId7"/>
</worksheet>
</file>

<file path=xl/worksheets/sheet2.xml><?xml version="1.0" encoding="utf-8"?>
<worksheet xmlns="http://schemas.openxmlformats.org/spreadsheetml/2006/main" xmlns:r="http://schemas.openxmlformats.org/officeDocument/2006/relationships">
  <sheetPr codeName="Sheet1"/>
  <dimension ref="B2:P130"/>
  <sheetViews>
    <sheetView showGridLines="0" showRowColHeaders="0" workbookViewId="0" topLeftCell="A1">
      <selection activeCell="A1" sqref="A1"/>
    </sheetView>
  </sheetViews>
  <sheetFormatPr defaultColWidth="8.8515625" defaultRowHeight="12.75"/>
  <cols>
    <col min="1" max="1" width="0.85546875" style="0" customWidth="1"/>
    <col min="2" max="15" width="8.8515625" style="0" customWidth="1"/>
    <col min="16" max="16" width="14.421875" style="0" customWidth="1"/>
  </cols>
  <sheetData>
    <row r="1" ht="6" customHeight="1" thickBot="1"/>
    <row r="2" spans="2:16" ht="12">
      <c r="B2" s="415" t="s">
        <v>246</v>
      </c>
      <c r="C2" s="416"/>
      <c r="D2" s="417"/>
      <c r="E2" s="417"/>
      <c r="F2" s="417"/>
      <c r="G2" s="417"/>
      <c r="H2" s="417"/>
      <c r="I2" s="417"/>
      <c r="J2" s="417"/>
      <c r="K2" s="417"/>
      <c r="L2" s="417"/>
      <c r="M2" s="417"/>
      <c r="N2" s="417"/>
      <c r="O2" s="417"/>
      <c r="P2" s="418"/>
    </row>
    <row r="3" spans="2:16" ht="12">
      <c r="B3" s="636"/>
      <c r="C3" s="57"/>
      <c r="D3" s="58"/>
      <c r="E3" s="58"/>
      <c r="F3" s="58"/>
      <c r="G3" s="58"/>
      <c r="H3" s="58"/>
      <c r="I3" s="58"/>
      <c r="J3" s="58"/>
      <c r="K3" s="58"/>
      <c r="L3" s="58"/>
      <c r="M3" s="58"/>
      <c r="N3" s="58"/>
      <c r="O3" s="58"/>
      <c r="P3" s="635"/>
    </row>
    <row r="4" spans="2:16" ht="12">
      <c r="B4" s="419" t="s">
        <v>325</v>
      </c>
      <c r="C4" s="360"/>
      <c r="D4" s="360"/>
      <c r="E4" s="360"/>
      <c r="F4" s="420"/>
      <c r="G4" s="420"/>
      <c r="H4" s="420"/>
      <c r="I4" s="420"/>
      <c r="J4" s="420"/>
      <c r="K4" s="420"/>
      <c r="L4" s="420"/>
      <c r="M4" s="420"/>
      <c r="N4" s="420"/>
      <c r="O4" s="420"/>
      <c r="P4" s="421"/>
    </row>
    <row r="5" spans="2:16" ht="12">
      <c r="B5" s="419" t="s">
        <v>326</v>
      </c>
      <c r="C5" s="360"/>
      <c r="D5" s="360"/>
      <c r="E5" s="360"/>
      <c r="F5" s="420"/>
      <c r="G5" s="420"/>
      <c r="H5" s="420"/>
      <c r="I5" s="420"/>
      <c r="J5" s="420"/>
      <c r="K5" s="420"/>
      <c r="L5" s="420"/>
      <c r="M5" s="420"/>
      <c r="N5" s="420"/>
      <c r="O5" s="420"/>
      <c r="P5" s="421"/>
    </row>
    <row r="6" spans="2:16" ht="12">
      <c r="B6" s="419" t="s">
        <v>327</v>
      </c>
      <c r="C6" s="360"/>
      <c r="D6" s="360"/>
      <c r="E6" s="360"/>
      <c r="F6" s="420"/>
      <c r="G6" s="420"/>
      <c r="H6" s="420"/>
      <c r="I6" s="420"/>
      <c r="J6" s="420"/>
      <c r="K6" s="420"/>
      <c r="L6" s="420"/>
      <c r="M6" s="420"/>
      <c r="N6" s="420"/>
      <c r="O6" s="420"/>
      <c r="P6" s="421"/>
    </row>
    <row r="7" spans="2:16" ht="12">
      <c r="B7" s="419"/>
      <c r="C7" s="360"/>
      <c r="D7" s="360"/>
      <c r="E7" s="360"/>
      <c r="F7" s="420"/>
      <c r="G7" s="420"/>
      <c r="H7" s="420"/>
      <c r="I7" s="420"/>
      <c r="J7" s="420"/>
      <c r="K7" s="420"/>
      <c r="L7" s="420"/>
      <c r="M7" s="420"/>
      <c r="N7" s="420"/>
      <c r="O7" s="420"/>
      <c r="P7" s="421"/>
    </row>
    <row r="8" spans="2:16" ht="12">
      <c r="B8" s="422" t="s">
        <v>329</v>
      </c>
      <c r="C8" s="423"/>
      <c r="D8" s="420"/>
      <c r="E8" s="420"/>
      <c r="F8" s="420"/>
      <c r="G8" s="420"/>
      <c r="H8" s="420"/>
      <c r="I8" s="420"/>
      <c r="J8" s="420"/>
      <c r="K8" s="420"/>
      <c r="L8" s="420"/>
      <c r="M8" s="420"/>
      <c r="N8" s="420"/>
      <c r="O8" s="420"/>
      <c r="P8" s="421"/>
    </row>
    <row r="9" spans="2:16" ht="12">
      <c r="B9" s="422" t="s">
        <v>328</v>
      </c>
      <c r="C9" s="423"/>
      <c r="D9" s="420"/>
      <c r="E9" s="420"/>
      <c r="F9" s="420"/>
      <c r="G9" s="420"/>
      <c r="H9" s="420"/>
      <c r="I9" s="420"/>
      <c r="J9" s="420"/>
      <c r="K9" s="420"/>
      <c r="L9" s="420"/>
      <c r="M9" s="420"/>
      <c r="N9" s="420"/>
      <c r="O9" s="420"/>
      <c r="P9" s="421"/>
    </row>
    <row r="10" spans="2:16" ht="12">
      <c r="B10" s="422" t="s">
        <v>323</v>
      </c>
      <c r="C10" s="423"/>
      <c r="D10" s="420"/>
      <c r="E10" s="420"/>
      <c r="F10" s="420"/>
      <c r="G10" s="420"/>
      <c r="H10" s="420"/>
      <c r="I10" s="420"/>
      <c r="J10" s="420"/>
      <c r="K10" s="420"/>
      <c r="L10" s="420"/>
      <c r="M10" s="420"/>
      <c r="N10" s="420"/>
      <c r="O10" s="420"/>
      <c r="P10" s="421"/>
    </row>
    <row r="11" spans="2:16" ht="12">
      <c r="B11" s="422"/>
      <c r="C11" s="423"/>
      <c r="D11" s="420"/>
      <c r="E11" s="420"/>
      <c r="F11" s="420"/>
      <c r="G11" s="420"/>
      <c r="H11" s="420"/>
      <c r="I11" s="420"/>
      <c r="J11" s="420"/>
      <c r="K11" s="420"/>
      <c r="L11" s="420"/>
      <c r="M11" s="420"/>
      <c r="N11" s="420"/>
      <c r="O11" s="420"/>
      <c r="P11" s="421"/>
    </row>
    <row r="12" spans="2:16" ht="12">
      <c r="B12" s="422" t="s">
        <v>247</v>
      </c>
      <c r="C12" s="423"/>
      <c r="D12" s="420"/>
      <c r="E12" s="420"/>
      <c r="F12" s="420"/>
      <c r="G12" s="420"/>
      <c r="H12" s="420"/>
      <c r="I12" s="420"/>
      <c r="J12" s="420"/>
      <c r="K12" s="420"/>
      <c r="L12" s="420"/>
      <c r="M12" s="420"/>
      <c r="N12" s="420"/>
      <c r="O12" s="420"/>
      <c r="P12" s="421"/>
    </row>
    <row r="13" spans="2:16" ht="12">
      <c r="B13" s="422" t="s">
        <v>324</v>
      </c>
      <c r="C13" s="423"/>
      <c r="D13" s="420"/>
      <c r="E13" s="420"/>
      <c r="F13" s="420"/>
      <c r="G13" s="420"/>
      <c r="H13" s="420"/>
      <c r="I13" s="420"/>
      <c r="J13" s="420"/>
      <c r="K13" s="420"/>
      <c r="L13" s="420"/>
      <c r="M13" s="420"/>
      <c r="N13" s="420"/>
      <c r="O13" s="420"/>
      <c r="P13" s="421"/>
    </row>
    <row r="14" spans="2:16" ht="12">
      <c r="B14" s="422"/>
      <c r="C14" s="423"/>
      <c r="D14" s="420"/>
      <c r="E14" s="420"/>
      <c r="F14" s="420"/>
      <c r="G14" s="420"/>
      <c r="H14" s="420"/>
      <c r="I14" s="420"/>
      <c r="J14" s="420"/>
      <c r="K14" s="420"/>
      <c r="L14" s="420"/>
      <c r="M14" s="420"/>
      <c r="N14" s="420"/>
      <c r="O14" s="420"/>
      <c r="P14" s="421"/>
    </row>
    <row r="15" spans="2:16" ht="12">
      <c r="B15" s="422" t="s">
        <v>330</v>
      </c>
      <c r="C15" s="423"/>
      <c r="D15" s="420"/>
      <c r="E15" s="420"/>
      <c r="F15" s="420"/>
      <c r="G15" s="420"/>
      <c r="H15" s="420"/>
      <c r="I15" s="420"/>
      <c r="J15" s="420"/>
      <c r="K15" s="420"/>
      <c r="L15" s="420"/>
      <c r="M15" s="420"/>
      <c r="N15" s="420"/>
      <c r="O15" s="420"/>
      <c r="P15" s="421"/>
    </row>
    <row r="16" spans="2:16" ht="12">
      <c r="B16" s="422" t="s">
        <v>331</v>
      </c>
      <c r="C16" s="423"/>
      <c r="D16" s="420"/>
      <c r="E16" s="420"/>
      <c r="F16" s="420"/>
      <c r="G16" s="420"/>
      <c r="H16" s="420"/>
      <c r="I16" s="420"/>
      <c r="J16" s="420"/>
      <c r="K16" s="420"/>
      <c r="L16" s="420"/>
      <c r="M16" s="420"/>
      <c r="N16" s="420"/>
      <c r="O16" s="420"/>
      <c r="P16" s="421"/>
    </row>
    <row r="17" spans="2:16" ht="12">
      <c r="B17" s="422" t="s">
        <v>333</v>
      </c>
      <c r="C17" s="423"/>
      <c r="D17" s="420"/>
      <c r="E17" s="420"/>
      <c r="F17" s="420"/>
      <c r="G17" s="420"/>
      <c r="H17" s="420"/>
      <c r="I17" s="420"/>
      <c r="J17" s="420"/>
      <c r="K17" s="420"/>
      <c r="L17" s="420"/>
      <c r="M17" s="420"/>
      <c r="N17" s="420"/>
      <c r="O17" s="420"/>
      <c r="P17" s="421"/>
    </row>
    <row r="18" spans="2:16" ht="12">
      <c r="B18" s="422" t="s">
        <v>332</v>
      </c>
      <c r="C18" s="423"/>
      <c r="D18" s="420"/>
      <c r="E18" s="420"/>
      <c r="F18" s="420"/>
      <c r="G18" s="420"/>
      <c r="H18" s="420"/>
      <c r="I18" s="420"/>
      <c r="J18" s="420"/>
      <c r="K18" s="420"/>
      <c r="L18" s="420"/>
      <c r="M18" s="420"/>
      <c r="N18" s="420"/>
      <c r="O18" s="420"/>
      <c r="P18" s="421"/>
    </row>
    <row r="19" spans="2:16" ht="12">
      <c r="B19" s="422"/>
      <c r="C19" s="423"/>
      <c r="D19" s="420"/>
      <c r="E19" s="420"/>
      <c r="F19" s="420"/>
      <c r="G19" s="420"/>
      <c r="H19" s="420"/>
      <c r="I19" s="420"/>
      <c r="J19" s="420"/>
      <c r="K19" s="420"/>
      <c r="L19" s="420"/>
      <c r="M19" s="420"/>
      <c r="N19" s="420"/>
      <c r="O19" s="420"/>
      <c r="P19" s="421"/>
    </row>
    <row r="20" spans="2:16" ht="12">
      <c r="B20" s="422" t="s">
        <v>321</v>
      </c>
      <c r="C20" s="423"/>
      <c r="D20" s="420"/>
      <c r="E20" s="420"/>
      <c r="F20" s="420"/>
      <c r="G20" s="420"/>
      <c r="H20" s="420"/>
      <c r="I20" s="420"/>
      <c r="J20" s="420"/>
      <c r="K20" s="420"/>
      <c r="L20" s="420"/>
      <c r="M20" s="420"/>
      <c r="N20" s="420"/>
      <c r="O20" s="420"/>
      <c r="P20" s="421"/>
    </row>
    <row r="21" spans="2:16" ht="12">
      <c r="B21" s="422" t="s">
        <v>318</v>
      </c>
      <c r="C21" s="423"/>
      <c r="D21" s="420"/>
      <c r="E21" s="420"/>
      <c r="F21" s="420"/>
      <c r="G21" s="420"/>
      <c r="H21" s="420"/>
      <c r="I21" s="420"/>
      <c r="J21" s="420"/>
      <c r="K21" s="420"/>
      <c r="L21" s="420"/>
      <c r="M21" s="420"/>
      <c r="N21" s="420"/>
      <c r="O21" s="420"/>
      <c r="P21" s="421"/>
    </row>
    <row r="22" spans="2:16" ht="12">
      <c r="B22" s="422" t="s">
        <v>319</v>
      </c>
      <c r="C22" s="423"/>
      <c r="D22" s="420"/>
      <c r="E22" s="420"/>
      <c r="F22" s="420"/>
      <c r="G22" s="420"/>
      <c r="H22" s="420"/>
      <c r="I22" s="420"/>
      <c r="J22" s="420"/>
      <c r="K22" s="420"/>
      <c r="L22" s="420"/>
      <c r="M22" s="420"/>
      <c r="N22" s="420"/>
      <c r="O22" s="420"/>
      <c r="P22" s="421"/>
    </row>
    <row r="23" spans="2:16" ht="12">
      <c r="B23" s="422" t="s">
        <v>322</v>
      </c>
      <c r="C23" s="423"/>
      <c r="D23" s="420"/>
      <c r="E23" s="420"/>
      <c r="F23" s="420"/>
      <c r="G23" s="420"/>
      <c r="H23" s="420"/>
      <c r="I23" s="420"/>
      <c r="J23" s="420"/>
      <c r="K23" s="420"/>
      <c r="L23" s="420"/>
      <c r="M23" s="420"/>
      <c r="N23" s="420"/>
      <c r="O23" s="420"/>
      <c r="P23" s="421"/>
    </row>
    <row r="24" spans="2:16" ht="12">
      <c r="B24" s="422"/>
      <c r="C24" s="423"/>
      <c r="D24" s="420"/>
      <c r="E24" s="420"/>
      <c r="F24" s="420"/>
      <c r="G24" s="420"/>
      <c r="H24" s="420"/>
      <c r="I24" s="420"/>
      <c r="J24" s="420"/>
      <c r="K24" s="420"/>
      <c r="L24" s="420"/>
      <c r="M24" s="420"/>
      <c r="N24" s="420"/>
      <c r="O24" s="420"/>
      <c r="P24" s="421"/>
    </row>
    <row r="25" spans="2:16" ht="12">
      <c r="B25" s="422" t="s">
        <v>237</v>
      </c>
      <c r="C25" s="423"/>
      <c r="D25" s="420"/>
      <c r="E25" s="420"/>
      <c r="F25" s="420"/>
      <c r="G25" s="420"/>
      <c r="H25" s="420"/>
      <c r="I25" s="420"/>
      <c r="J25" s="420"/>
      <c r="K25" s="420"/>
      <c r="L25" s="420"/>
      <c r="M25" s="420"/>
      <c r="N25" s="420"/>
      <c r="O25" s="420"/>
      <c r="P25" s="421"/>
    </row>
    <row r="26" spans="2:16" ht="12">
      <c r="B26" s="422" t="s">
        <v>125</v>
      </c>
      <c r="C26" s="423"/>
      <c r="D26" s="420"/>
      <c r="E26" s="420"/>
      <c r="F26" s="420"/>
      <c r="G26" s="420"/>
      <c r="H26" s="420"/>
      <c r="I26" s="420"/>
      <c r="J26" s="420"/>
      <c r="K26" s="420"/>
      <c r="L26" s="420"/>
      <c r="M26" s="420"/>
      <c r="N26" s="420"/>
      <c r="O26" s="420"/>
      <c r="P26" s="421"/>
    </row>
    <row r="27" spans="2:16" ht="12">
      <c r="B27" s="422" t="s">
        <v>126</v>
      </c>
      <c r="C27" s="423"/>
      <c r="D27" s="420"/>
      <c r="E27" s="420"/>
      <c r="F27" s="420"/>
      <c r="G27" s="420"/>
      <c r="H27" s="420"/>
      <c r="I27" s="420"/>
      <c r="J27" s="420"/>
      <c r="K27" s="420"/>
      <c r="L27" s="420"/>
      <c r="M27" s="420"/>
      <c r="N27" s="420"/>
      <c r="O27" s="420"/>
      <c r="P27" s="421"/>
    </row>
    <row r="28" spans="2:16" ht="12">
      <c r="B28" s="422" t="s">
        <v>106</v>
      </c>
      <c r="C28" s="423"/>
      <c r="D28" s="420"/>
      <c r="E28" s="420"/>
      <c r="F28" s="420"/>
      <c r="G28" s="420"/>
      <c r="H28" s="420"/>
      <c r="I28" s="420"/>
      <c r="J28" s="420"/>
      <c r="K28" s="420"/>
      <c r="L28" s="420"/>
      <c r="M28" s="420"/>
      <c r="N28" s="420"/>
      <c r="O28" s="420"/>
      <c r="P28" s="421"/>
    </row>
    <row r="29" spans="2:16" ht="12">
      <c r="B29" s="422" t="s">
        <v>107</v>
      </c>
      <c r="C29" s="423"/>
      <c r="D29" s="420"/>
      <c r="E29" s="420"/>
      <c r="F29" s="420"/>
      <c r="G29" s="420"/>
      <c r="H29" s="420"/>
      <c r="I29" s="420"/>
      <c r="J29" s="420"/>
      <c r="K29" s="420"/>
      <c r="L29" s="420"/>
      <c r="M29" s="420"/>
      <c r="N29" s="420"/>
      <c r="O29" s="420"/>
      <c r="P29" s="421"/>
    </row>
    <row r="30" spans="2:16" ht="12">
      <c r="B30" s="422"/>
      <c r="C30" s="423"/>
      <c r="D30" s="420"/>
      <c r="E30" s="420"/>
      <c r="F30" s="420"/>
      <c r="G30" s="420"/>
      <c r="H30" s="420"/>
      <c r="I30" s="420"/>
      <c r="J30" s="420"/>
      <c r="K30" s="420"/>
      <c r="L30" s="420"/>
      <c r="M30" s="420"/>
      <c r="N30" s="420"/>
      <c r="O30" s="420"/>
      <c r="P30" s="421"/>
    </row>
    <row r="31" spans="2:16" ht="12">
      <c r="B31" s="424" t="s">
        <v>248</v>
      </c>
      <c r="C31" s="425"/>
      <c r="D31" s="426"/>
      <c r="E31" s="426"/>
      <c r="F31" s="426"/>
      <c r="G31" s="426"/>
      <c r="H31" s="426"/>
      <c r="I31" s="426"/>
      <c r="J31" s="426"/>
      <c r="K31" s="426"/>
      <c r="L31" s="426"/>
      <c r="M31" s="426"/>
      <c r="N31" s="426"/>
      <c r="O31" s="426"/>
      <c r="P31" s="427"/>
    </row>
    <row r="32" spans="2:16" ht="12">
      <c r="B32" s="422" t="s">
        <v>147</v>
      </c>
      <c r="C32" s="423"/>
      <c r="D32" s="420"/>
      <c r="E32" s="420"/>
      <c r="F32" s="420"/>
      <c r="G32" s="420"/>
      <c r="H32" s="420"/>
      <c r="I32" s="420"/>
      <c r="J32" s="420"/>
      <c r="K32" s="420"/>
      <c r="L32" s="420"/>
      <c r="M32" s="420"/>
      <c r="N32" s="420"/>
      <c r="O32" s="420"/>
      <c r="P32" s="421"/>
    </row>
    <row r="33" spans="2:16" ht="12">
      <c r="B33" s="428" t="s">
        <v>249</v>
      </c>
      <c r="C33" s="423"/>
      <c r="D33" s="420"/>
      <c r="E33" s="420"/>
      <c r="F33" s="420"/>
      <c r="G33" s="420"/>
      <c r="H33" s="420"/>
      <c r="I33" s="420"/>
      <c r="J33" s="420"/>
      <c r="K33" s="420"/>
      <c r="L33" s="420"/>
      <c r="M33" s="420"/>
      <c r="N33" s="420"/>
      <c r="O33" s="420"/>
      <c r="P33" s="421"/>
    </row>
    <row r="34" spans="2:16" ht="12">
      <c r="B34" s="422" t="s">
        <v>146</v>
      </c>
      <c r="C34" s="423"/>
      <c r="D34" s="420"/>
      <c r="E34" s="420"/>
      <c r="F34" s="420"/>
      <c r="G34" s="420"/>
      <c r="H34" s="420"/>
      <c r="I34" s="420"/>
      <c r="J34" s="420"/>
      <c r="K34" s="420"/>
      <c r="L34" s="420"/>
      <c r="M34" s="420"/>
      <c r="N34" s="420"/>
      <c r="O34" s="420"/>
      <c r="P34" s="421"/>
    </row>
    <row r="35" spans="2:16" ht="12">
      <c r="B35" s="422"/>
      <c r="C35" s="423"/>
      <c r="D35" s="420"/>
      <c r="E35" s="420"/>
      <c r="F35" s="420"/>
      <c r="G35" s="420"/>
      <c r="H35" s="420"/>
      <c r="I35" s="420"/>
      <c r="J35" s="420"/>
      <c r="K35" s="420"/>
      <c r="L35" s="420"/>
      <c r="M35" s="420"/>
      <c r="N35" s="420"/>
      <c r="O35" s="420"/>
      <c r="P35" s="421"/>
    </row>
    <row r="36" spans="2:16" ht="12">
      <c r="B36" s="422" t="s">
        <v>335</v>
      </c>
      <c r="C36" s="423"/>
      <c r="D36" s="420"/>
      <c r="E36" s="420"/>
      <c r="F36" s="420"/>
      <c r="G36" s="420"/>
      <c r="H36" s="420"/>
      <c r="I36" s="420"/>
      <c r="J36" s="420"/>
      <c r="K36" s="420"/>
      <c r="L36" s="420"/>
      <c r="M36" s="420"/>
      <c r="N36" s="420"/>
      <c r="O36" s="420"/>
      <c r="P36" s="421"/>
    </row>
    <row r="37" spans="2:16" ht="12">
      <c r="B37" s="422" t="s">
        <v>250</v>
      </c>
      <c r="C37" s="423"/>
      <c r="D37" s="420"/>
      <c r="E37" s="420"/>
      <c r="F37" s="420"/>
      <c r="G37" s="420"/>
      <c r="H37" s="420"/>
      <c r="I37" s="420"/>
      <c r="J37" s="420"/>
      <c r="K37" s="420"/>
      <c r="L37" s="420"/>
      <c r="M37" s="420"/>
      <c r="N37" s="420"/>
      <c r="O37" s="420"/>
      <c r="P37" s="421"/>
    </row>
    <row r="38" spans="2:16" ht="12">
      <c r="B38" s="422" t="s">
        <v>148</v>
      </c>
      <c r="C38" s="423"/>
      <c r="D38" s="420"/>
      <c r="E38" s="420"/>
      <c r="F38" s="420"/>
      <c r="G38" s="420"/>
      <c r="H38" s="420"/>
      <c r="I38" s="420"/>
      <c r="J38" s="420"/>
      <c r="K38" s="420"/>
      <c r="L38" s="420"/>
      <c r="M38" s="420"/>
      <c r="N38" s="420"/>
      <c r="O38" s="420"/>
      <c r="P38" s="421"/>
    </row>
    <row r="39" spans="2:16" ht="12">
      <c r="B39" s="422"/>
      <c r="C39" s="423"/>
      <c r="D39" s="420"/>
      <c r="E39" s="420"/>
      <c r="F39" s="420"/>
      <c r="G39" s="420"/>
      <c r="H39" s="420"/>
      <c r="I39" s="420"/>
      <c r="J39" s="420"/>
      <c r="K39" s="420"/>
      <c r="L39" s="420"/>
      <c r="M39" s="420"/>
      <c r="N39" s="420"/>
      <c r="O39" s="420"/>
      <c r="P39" s="421"/>
    </row>
    <row r="40" spans="2:16" ht="12">
      <c r="B40" s="422" t="s">
        <v>336</v>
      </c>
      <c r="C40" s="423"/>
      <c r="D40" s="420"/>
      <c r="E40" s="420"/>
      <c r="F40" s="420"/>
      <c r="G40" s="420"/>
      <c r="H40" s="420"/>
      <c r="I40" s="420"/>
      <c r="J40" s="420"/>
      <c r="K40" s="420"/>
      <c r="L40" s="420"/>
      <c r="M40" s="420"/>
      <c r="N40" s="420"/>
      <c r="O40" s="420"/>
      <c r="P40" s="421"/>
    </row>
    <row r="41" spans="2:16" ht="12">
      <c r="B41" s="422" t="s">
        <v>306</v>
      </c>
      <c r="C41" s="423"/>
      <c r="D41" s="420"/>
      <c r="E41" s="420"/>
      <c r="F41" s="420"/>
      <c r="G41" s="420"/>
      <c r="H41" s="420"/>
      <c r="I41" s="420"/>
      <c r="J41" s="420"/>
      <c r="K41" s="420"/>
      <c r="L41" s="420"/>
      <c r="M41" s="420"/>
      <c r="N41" s="420"/>
      <c r="O41" s="420"/>
      <c r="P41" s="421"/>
    </row>
    <row r="42" spans="2:16" ht="12">
      <c r="B42" s="422" t="s">
        <v>307</v>
      </c>
      <c r="C42" s="423"/>
      <c r="D42" s="420"/>
      <c r="E42" s="420"/>
      <c r="F42" s="420"/>
      <c r="G42" s="420"/>
      <c r="H42" s="420"/>
      <c r="I42" s="420"/>
      <c r="J42" s="420"/>
      <c r="K42" s="420"/>
      <c r="L42" s="420"/>
      <c r="M42" s="420"/>
      <c r="N42" s="420"/>
      <c r="O42" s="420"/>
      <c r="P42" s="421"/>
    </row>
    <row r="43" spans="2:16" ht="12">
      <c r="B43" s="422"/>
      <c r="C43" s="423"/>
      <c r="D43" s="420"/>
      <c r="E43" s="420"/>
      <c r="F43" s="420"/>
      <c r="G43" s="420"/>
      <c r="H43" s="420"/>
      <c r="I43" s="420"/>
      <c r="J43" s="420"/>
      <c r="K43" s="420"/>
      <c r="L43" s="420"/>
      <c r="M43" s="420"/>
      <c r="N43" s="420"/>
      <c r="O43" s="420"/>
      <c r="P43" s="421"/>
    </row>
    <row r="44" spans="2:16" ht="12">
      <c r="B44" s="422" t="s">
        <v>35</v>
      </c>
      <c r="C44" s="423"/>
      <c r="D44" s="420"/>
      <c r="E44" s="420"/>
      <c r="F44" s="420"/>
      <c r="G44" s="420"/>
      <c r="H44" s="420"/>
      <c r="I44" s="420"/>
      <c r="J44" s="420"/>
      <c r="K44" s="420"/>
      <c r="L44" s="420"/>
      <c r="M44" s="420"/>
      <c r="N44" s="420"/>
      <c r="O44" s="420"/>
      <c r="P44" s="421"/>
    </row>
    <row r="45" spans="2:16" ht="12">
      <c r="B45" s="422" t="s">
        <v>33</v>
      </c>
      <c r="C45" s="423"/>
      <c r="D45" s="420"/>
      <c r="E45" s="420"/>
      <c r="F45" s="420"/>
      <c r="G45" s="420"/>
      <c r="H45" s="420"/>
      <c r="I45" s="420"/>
      <c r="J45" s="420"/>
      <c r="K45" s="420"/>
      <c r="L45" s="420"/>
      <c r="M45" s="420"/>
      <c r="N45" s="420"/>
      <c r="O45" s="420"/>
      <c r="P45" s="421"/>
    </row>
    <row r="46" spans="2:16" ht="12">
      <c r="B46" s="422"/>
      <c r="C46" s="423"/>
      <c r="D46" s="420"/>
      <c r="E46" s="420"/>
      <c r="F46" s="420"/>
      <c r="G46" s="420"/>
      <c r="H46" s="420"/>
      <c r="I46" s="420"/>
      <c r="J46" s="420"/>
      <c r="K46" s="420"/>
      <c r="L46" s="420"/>
      <c r="M46" s="420"/>
      <c r="N46" s="420"/>
      <c r="O46" s="420"/>
      <c r="P46" s="421"/>
    </row>
    <row r="47" spans="2:16" ht="12">
      <c r="B47" s="422" t="s">
        <v>320</v>
      </c>
      <c r="C47" s="423"/>
      <c r="D47" s="420"/>
      <c r="E47" s="420"/>
      <c r="F47" s="420"/>
      <c r="G47" s="420"/>
      <c r="H47" s="420"/>
      <c r="I47" s="420"/>
      <c r="J47" s="420"/>
      <c r="K47" s="420"/>
      <c r="L47" s="420"/>
      <c r="M47" s="420"/>
      <c r="N47" s="420"/>
      <c r="O47" s="420"/>
      <c r="P47" s="421"/>
    </row>
    <row r="48" spans="2:16" ht="12">
      <c r="B48" s="422"/>
      <c r="C48" s="423"/>
      <c r="D48" s="420"/>
      <c r="E48" s="420"/>
      <c r="F48" s="420"/>
      <c r="G48" s="420"/>
      <c r="H48" s="420"/>
      <c r="I48" s="420"/>
      <c r="J48" s="420"/>
      <c r="K48" s="420"/>
      <c r="L48" s="420"/>
      <c r="M48" s="420"/>
      <c r="N48" s="420"/>
      <c r="O48" s="420"/>
      <c r="P48" s="421"/>
    </row>
    <row r="49" spans="2:16" ht="12">
      <c r="B49" s="424" t="s">
        <v>251</v>
      </c>
      <c r="C49" s="425"/>
      <c r="D49" s="426"/>
      <c r="E49" s="426"/>
      <c r="F49" s="426"/>
      <c r="G49" s="426"/>
      <c r="H49" s="426"/>
      <c r="I49" s="426"/>
      <c r="J49" s="426"/>
      <c r="K49" s="426"/>
      <c r="L49" s="426"/>
      <c r="M49" s="426"/>
      <c r="N49" s="426"/>
      <c r="O49" s="426"/>
      <c r="P49" s="427"/>
    </row>
    <row r="50" spans="2:16" ht="12">
      <c r="B50" s="422" t="s">
        <v>76</v>
      </c>
      <c r="C50" s="423"/>
      <c r="D50" s="420"/>
      <c r="E50" s="420"/>
      <c r="F50" s="420"/>
      <c r="G50" s="420"/>
      <c r="H50" s="420"/>
      <c r="I50" s="420"/>
      <c r="J50" s="420"/>
      <c r="K50" s="420"/>
      <c r="L50" s="420"/>
      <c r="M50" s="420"/>
      <c r="N50" s="420"/>
      <c r="O50" s="420"/>
      <c r="P50" s="421"/>
    </row>
    <row r="51" spans="2:16" ht="12">
      <c r="B51" s="422"/>
      <c r="C51" s="423"/>
      <c r="D51" s="420"/>
      <c r="E51" s="420"/>
      <c r="F51" s="420"/>
      <c r="G51" s="420"/>
      <c r="H51" s="420"/>
      <c r="I51" s="420"/>
      <c r="J51" s="420"/>
      <c r="K51" s="420"/>
      <c r="L51" s="420"/>
      <c r="M51" s="420"/>
      <c r="N51" s="420"/>
      <c r="O51" s="420"/>
      <c r="P51" s="421"/>
    </row>
    <row r="52" spans="2:16" ht="12">
      <c r="B52" s="422" t="s">
        <v>252</v>
      </c>
      <c r="C52" s="423"/>
      <c r="D52" s="420"/>
      <c r="E52" s="429"/>
      <c r="F52" s="429"/>
      <c r="G52" s="429"/>
      <c r="H52" s="429"/>
      <c r="I52" s="429"/>
      <c r="J52" s="430"/>
      <c r="K52" s="420"/>
      <c r="L52" s="420"/>
      <c r="M52" s="420"/>
      <c r="N52" s="420"/>
      <c r="O52" s="420"/>
      <c r="P52" s="421"/>
    </row>
    <row r="53" spans="2:16" ht="12">
      <c r="B53" s="422" t="s">
        <v>253</v>
      </c>
      <c r="C53" s="423"/>
      <c r="D53" s="420"/>
      <c r="E53" s="420"/>
      <c r="F53" s="420"/>
      <c r="G53" s="420"/>
      <c r="H53" s="420"/>
      <c r="I53" s="420"/>
      <c r="J53" s="420"/>
      <c r="K53" s="420"/>
      <c r="L53" s="420"/>
      <c r="M53" s="420"/>
      <c r="N53" s="420"/>
      <c r="O53" s="420"/>
      <c r="P53" s="421"/>
    </row>
    <row r="54" spans="2:16" ht="12">
      <c r="B54" s="422"/>
      <c r="C54" s="423"/>
      <c r="D54" s="420"/>
      <c r="E54" s="420"/>
      <c r="F54" s="420"/>
      <c r="G54" s="420"/>
      <c r="H54" s="420"/>
      <c r="I54" s="420"/>
      <c r="J54" s="420"/>
      <c r="K54" s="420"/>
      <c r="L54" s="420"/>
      <c r="M54" s="420"/>
      <c r="N54" s="420"/>
      <c r="O54" s="420"/>
      <c r="P54" s="421"/>
    </row>
    <row r="55" spans="2:16" ht="12">
      <c r="B55" s="431" t="s">
        <v>254</v>
      </c>
      <c r="C55" s="423"/>
      <c r="D55" s="420"/>
      <c r="E55" s="420"/>
      <c r="F55" s="420"/>
      <c r="G55" s="420"/>
      <c r="H55" s="420"/>
      <c r="I55" s="420"/>
      <c r="J55" s="420"/>
      <c r="K55" s="420"/>
      <c r="L55" s="420"/>
      <c r="M55" s="420"/>
      <c r="N55" s="420"/>
      <c r="O55" s="420"/>
      <c r="P55" s="421"/>
    </row>
    <row r="56" spans="2:16" ht="12">
      <c r="B56" s="431" t="s">
        <v>77</v>
      </c>
      <c r="C56" s="423"/>
      <c r="D56" s="420"/>
      <c r="E56" s="420"/>
      <c r="F56" s="420"/>
      <c r="G56" s="420"/>
      <c r="H56" s="420"/>
      <c r="I56" s="420"/>
      <c r="J56" s="420"/>
      <c r="K56" s="420"/>
      <c r="L56" s="420"/>
      <c r="M56" s="420"/>
      <c r="N56" s="420"/>
      <c r="O56" s="420"/>
      <c r="P56" s="421"/>
    </row>
    <row r="57" spans="2:16" ht="12">
      <c r="B57" s="431"/>
      <c r="C57" s="423"/>
      <c r="D57" s="420"/>
      <c r="E57" s="420"/>
      <c r="F57" s="420"/>
      <c r="G57" s="420"/>
      <c r="H57" s="420"/>
      <c r="I57" s="420"/>
      <c r="J57" s="420"/>
      <c r="K57" s="420"/>
      <c r="L57" s="420"/>
      <c r="M57" s="420"/>
      <c r="N57" s="420"/>
      <c r="O57" s="420"/>
      <c r="P57" s="421"/>
    </row>
    <row r="58" spans="2:16" ht="12">
      <c r="B58" s="431" t="s">
        <v>255</v>
      </c>
      <c r="C58" s="423"/>
      <c r="D58" s="420"/>
      <c r="E58" s="420"/>
      <c r="F58" s="420"/>
      <c r="G58" s="420"/>
      <c r="H58" s="420"/>
      <c r="I58" s="420"/>
      <c r="J58" s="420"/>
      <c r="K58" s="420"/>
      <c r="L58" s="420"/>
      <c r="M58" s="420"/>
      <c r="N58" s="420"/>
      <c r="O58" s="420"/>
      <c r="P58" s="421"/>
    </row>
    <row r="59" spans="2:16" ht="12">
      <c r="B59" s="431" t="s">
        <v>228</v>
      </c>
      <c r="C59" s="423"/>
      <c r="D59" s="420"/>
      <c r="E59" s="420"/>
      <c r="F59" s="420"/>
      <c r="G59" s="420"/>
      <c r="H59" s="420"/>
      <c r="I59" s="420"/>
      <c r="J59" s="420"/>
      <c r="K59" s="420"/>
      <c r="L59" s="420"/>
      <c r="M59" s="420"/>
      <c r="N59" s="420"/>
      <c r="O59" s="420"/>
      <c r="P59" s="421"/>
    </row>
    <row r="60" spans="2:16" ht="12">
      <c r="B60" s="431" t="s">
        <v>305</v>
      </c>
      <c r="C60" s="423"/>
      <c r="D60" s="420"/>
      <c r="E60" s="420"/>
      <c r="F60" s="420"/>
      <c r="G60" s="420"/>
      <c r="H60" s="420"/>
      <c r="I60" s="420"/>
      <c r="J60" s="420"/>
      <c r="K60" s="420"/>
      <c r="L60" s="420"/>
      <c r="M60" s="420"/>
      <c r="N60" s="420"/>
      <c r="O60" s="420"/>
      <c r="P60" s="421"/>
    </row>
    <row r="61" spans="2:16" ht="12">
      <c r="B61" s="431"/>
      <c r="C61" s="423"/>
      <c r="D61" s="420"/>
      <c r="E61" s="420"/>
      <c r="F61" s="420"/>
      <c r="G61" s="420"/>
      <c r="H61" s="420"/>
      <c r="I61" s="420"/>
      <c r="J61" s="420"/>
      <c r="K61" s="420"/>
      <c r="L61" s="420"/>
      <c r="M61" s="420"/>
      <c r="N61" s="420"/>
      <c r="O61" s="420"/>
      <c r="P61" s="421"/>
    </row>
    <row r="62" spans="2:16" ht="12">
      <c r="B62" s="431" t="s">
        <v>300</v>
      </c>
      <c r="C62" s="423"/>
      <c r="D62" s="420"/>
      <c r="E62" s="420"/>
      <c r="F62" s="420"/>
      <c r="G62" s="420"/>
      <c r="H62" s="420"/>
      <c r="I62" s="420"/>
      <c r="J62" s="420"/>
      <c r="K62" s="420"/>
      <c r="L62" s="420"/>
      <c r="M62" s="420"/>
      <c r="N62" s="420"/>
      <c r="O62" s="420"/>
      <c r="P62" s="421"/>
    </row>
    <row r="63" spans="2:16" ht="12">
      <c r="B63" s="431" t="s">
        <v>301</v>
      </c>
      <c r="C63" s="423"/>
      <c r="D63" s="420"/>
      <c r="E63" s="420"/>
      <c r="F63" s="420"/>
      <c r="G63" s="420"/>
      <c r="H63" s="420"/>
      <c r="I63" s="420"/>
      <c r="J63" s="420"/>
      <c r="K63" s="420"/>
      <c r="L63" s="420"/>
      <c r="M63" s="420"/>
      <c r="N63" s="420"/>
      <c r="O63" s="420"/>
      <c r="P63" s="421"/>
    </row>
    <row r="64" spans="2:16" ht="12">
      <c r="B64" s="431" t="s">
        <v>303</v>
      </c>
      <c r="C64" s="423"/>
      <c r="D64" s="420"/>
      <c r="E64" s="420"/>
      <c r="F64" s="420"/>
      <c r="G64" s="420"/>
      <c r="H64" s="420"/>
      <c r="I64" s="420"/>
      <c r="J64" s="420"/>
      <c r="K64" s="420"/>
      <c r="L64" s="420"/>
      <c r="M64" s="420"/>
      <c r="N64" s="420"/>
      <c r="O64" s="420"/>
      <c r="P64" s="421"/>
    </row>
    <row r="65" spans="2:16" ht="12">
      <c r="B65" s="431" t="s">
        <v>302</v>
      </c>
      <c r="C65" s="423"/>
      <c r="D65" s="420"/>
      <c r="E65" s="420"/>
      <c r="F65" s="420"/>
      <c r="G65" s="420"/>
      <c r="H65" s="420"/>
      <c r="I65" s="420"/>
      <c r="J65" s="420"/>
      <c r="K65" s="420"/>
      <c r="L65" s="420"/>
      <c r="M65" s="420"/>
      <c r="N65" s="420"/>
      <c r="O65" s="420"/>
      <c r="P65" s="421"/>
    </row>
    <row r="66" spans="2:16" ht="12">
      <c r="B66" s="431"/>
      <c r="C66" s="423"/>
      <c r="D66" s="420"/>
      <c r="E66" s="420"/>
      <c r="F66" s="420"/>
      <c r="G66" s="420"/>
      <c r="H66" s="420"/>
      <c r="I66" s="420"/>
      <c r="J66" s="420"/>
      <c r="K66" s="420"/>
      <c r="L66" s="420"/>
      <c r="M66" s="420"/>
      <c r="N66" s="420"/>
      <c r="O66" s="420"/>
      <c r="P66" s="421"/>
    </row>
    <row r="67" spans="2:16" ht="12">
      <c r="B67" s="422" t="s">
        <v>256</v>
      </c>
      <c r="C67" s="423"/>
      <c r="D67" s="420"/>
      <c r="E67" s="420"/>
      <c r="F67" s="420"/>
      <c r="G67" s="420"/>
      <c r="H67" s="420"/>
      <c r="I67" s="420"/>
      <c r="J67" s="420"/>
      <c r="K67" s="420"/>
      <c r="L67" s="420"/>
      <c r="M67" s="420"/>
      <c r="N67" s="420"/>
      <c r="O67" s="420"/>
      <c r="P67" s="421"/>
    </row>
    <row r="68" spans="2:16" ht="12">
      <c r="B68" s="422" t="s">
        <v>96</v>
      </c>
      <c r="C68" s="423"/>
      <c r="D68" s="420"/>
      <c r="E68" s="420"/>
      <c r="F68" s="420"/>
      <c r="G68" s="420"/>
      <c r="H68" s="420"/>
      <c r="I68" s="420"/>
      <c r="J68" s="420"/>
      <c r="K68" s="420"/>
      <c r="L68" s="420"/>
      <c r="M68" s="420"/>
      <c r="N68" s="420"/>
      <c r="O68" s="420"/>
      <c r="P68" s="421"/>
    </row>
    <row r="69" spans="2:16" ht="12">
      <c r="B69" s="422" t="s">
        <v>97</v>
      </c>
      <c r="C69" s="423"/>
      <c r="D69" s="420"/>
      <c r="E69" s="420"/>
      <c r="F69" s="420"/>
      <c r="G69" s="420"/>
      <c r="H69" s="420"/>
      <c r="I69" s="420"/>
      <c r="J69" s="420"/>
      <c r="K69" s="420"/>
      <c r="L69" s="420"/>
      <c r="M69" s="420"/>
      <c r="N69" s="420"/>
      <c r="O69" s="420"/>
      <c r="P69" s="421"/>
    </row>
    <row r="70" spans="2:16" ht="12">
      <c r="B70" s="422" t="s">
        <v>98</v>
      </c>
      <c r="C70" s="423"/>
      <c r="D70" s="420"/>
      <c r="E70" s="420"/>
      <c r="F70" s="420"/>
      <c r="G70" s="420"/>
      <c r="H70" s="420"/>
      <c r="I70" s="420"/>
      <c r="J70" s="420"/>
      <c r="K70" s="420"/>
      <c r="L70" s="420"/>
      <c r="M70" s="420"/>
      <c r="N70" s="420"/>
      <c r="O70" s="420"/>
      <c r="P70" s="421"/>
    </row>
    <row r="71" spans="2:16" ht="12">
      <c r="B71" s="422" t="s">
        <v>75</v>
      </c>
      <c r="C71" s="423"/>
      <c r="D71" s="420"/>
      <c r="E71" s="420"/>
      <c r="F71" s="420"/>
      <c r="G71" s="420"/>
      <c r="H71" s="420"/>
      <c r="I71" s="420"/>
      <c r="J71" s="420"/>
      <c r="K71" s="420"/>
      <c r="L71" s="420"/>
      <c r="M71" s="420"/>
      <c r="N71" s="420"/>
      <c r="O71" s="420"/>
      <c r="P71" s="421"/>
    </row>
    <row r="72" spans="2:16" ht="12">
      <c r="B72" s="422"/>
      <c r="C72" s="423"/>
      <c r="D72" s="420"/>
      <c r="E72" s="420"/>
      <c r="F72" s="420"/>
      <c r="G72" s="420"/>
      <c r="H72" s="420"/>
      <c r="I72" s="420"/>
      <c r="J72" s="420"/>
      <c r="K72" s="420"/>
      <c r="L72" s="420"/>
      <c r="M72" s="420"/>
      <c r="N72" s="420"/>
      <c r="O72" s="420"/>
      <c r="P72" s="421"/>
    </row>
    <row r="73" spans="2:16" ht="12">
      <c r="B73" s="422" t="s">
        <v>257</v>
      </c>
      <c r="C73" s="423"/>
      <c r="D73" s="420"/>
      <c r="E73" s="420"/>
      <c r="F73" s="420"/>
      <c r="G73" s="420"/>
      <c r="H73" s="420"/>
      <c r="I73" s="420"/>
      <c r="J73" s="420"/>
      <c r="K73" s="420"/>
      <c r="L73" s="420"/>
      <c r="M73" s="420"/>
      <c r="N73" s="420"/>
      <c r="O73" s="420"/>
      <c r="P73" s="421"/>
    </row>
    <row r="74" spans="2:16" ht="12">
      <c r="B74" s="422" t="s">
        <v>258</v>
      </c>
      <c r="C74" s="423"/>
      <c r="D74" s="420"/>
      <c r="E74" s="420"/>
      <c r="F74" s="420"/>
      <c r="G74" s="420"/>
      <c r="H74" s="420"/>
      <c r="I74" s="420"/>
      <c r="J74" s="420"/>
      <c r="K74" s="420"/>
      <c r="L74" s="420"/>
      <c r="M74" s="420"/>
      <c r="N74" s="420"/>
      <c r="O74" s="420"/>
      <c r="P74" s="421"/>
    </row>
    <row r="75" spans="2:16" ht="12">
      <c r="B75" s="422" t="s">
        <v>63</v>
      </c>
      <c r="C75" s="423"/>
      <c r="D75" s="420"/>
      <c r="E75" s="420"/>
      <c r="F75" s="420"/>
      <c r="G75" s="420"/>
      <c r="H75" s="420"/>
      <c r="I75" s="420"/>
      <c r="J75" s="420"/>
      <c r="K75" s="420"/>
      <c r="L75" s="420"/>
      <c r="M75" s="420"/>
      <c r="N75" s="420"/>
      <c r="O75" s="420"/>
      <c r="P75" s="421"/>
    </row>
    <row r="76" spans="2:16" ht="12">
      <c r="B76" s="422"/>
      <c r="C76" s="423"/>
      <c r="D76" s="420"/>
      <c r="E76" s="420"/>
      <c r="F76" s="420"/>
      <c r="G76" s="420"/>
      <c r="H76" s="420"/>
      <c r="I76" s="420"/>
      <c r="J76" s="420"/>
      <c r="K76" s="420"/>
      <c r="L76" s="420"/>
      <c r="M76" s="420"/>
      <c r="N76" s="420"/>
      <c r="O76" s="420"/>
      <c r="P76" s="421"/>
    </row>
    <row r="77" spans="2:16" ht="12">
      <c r="B77" s="424" t="s">
        <v>259</v>
      </c>
      <c r="C77" s="425"/>
      <c r="D77" s="426"/>
      <c r="E77" s="426"/>
      <c r="F77" s="426"/>
      <c r="G77" s="426"/>
      <c r="H77" s="426"/>
      <c r="I77" s="426"/>
      <c r="J77" s="426"/>
      <c r="K77" s="426"/>
      <c r="L77" s="426"/>
      <c r="M77" s="426"/>
      <c r="N77" s="426"/>
      <c r="O77" s="426"/>
      <c r="P77" s="427"/>
    </row>
    <row r="78" spans="2:16" ht="12">
      <c r="B78" s="422"/>
      <c r="C78" s="423"/>
      <c r="D78" s="420"/>
      <c r="E78" s="420"/>
      <c r="F78" s="420"/>
      <c r="G78" s="420"/>
      <c r="H78" s="420"/>
      <c r="I78" s="420"/>
      <c r="J78" s="420"/>
      <c r="K78" s="420"/>
      <c r="L78" s="420"/>
      <c r="M78" s="420"/>
      <c r="N78" s="420"/>
      <c r="O78" s="420"/>
      <c r="P78" s="421"/>
    </row>
    <row r="79" spans="2:16" ht="12">
      <c r="B79" s="424" t="s">
        <v>260</v>
      </c>
      <c r="C79" s="425"/>
      <c r="D79" s="426"/>
      <c r="E79" s="426"/>
      <c r="F79" s="426"/>
      <c r="G79" s="426"/>
      <c r="H79" s="426"/>
      <c r="I79" s="426"/>
      <c r="J79" s="426"/>
      <c r="K79" s="426"/>
      <c r="L79" s="426"/>
      <c r="M79" s="426"/>
      <c r="N79" s="426"/>
      <c r="O79" s="426"/>
      <c r="P79" s="427"/>
    </row>
    <row r="80" spans="2:16" ht="12">
      <c r="B80" s="422" t="s">
        <v>261</v>
      </c>
      <c r="C80" s="423"/>
      <c r="D80" s="420"/>
      <c r="E80" s="420"/>
      <c r="F80" s="420"/>
      <c r="G80" s="420"/>
      <c r="H80" s="420"/>
      <c r="I80" s="420"/>
      <c r="J80" s="420"/>
      <c r="K80" s="420"/>
      <c r="L80" s="420"/>
      <c r="M80" s="420"/>
      <c r="N80" s="420"/>
      <c r="O80" s="420"/>
      <c r="P80" s="421"/>
    </row>
    <row r="81" spans="2:16" ht="12">
      <c r="B81" s="431" t="s">
        <v>190</v>
      </c>
      <c r="C81" s="423"/>
      <c r="D81" s="420"/>
      <c r="E81" s="420"/>
      <c r="F81" s="420"/>
      <c r="G81" s="420"/>
      <c r="H81" s="420"/>
      <c r="I81" s="420"/>
      <c r="J81" s="420"/>
      <c r="K81" s="420"/>
      <c r="L81" s="420"/>
      <c r="M81" s="420"/>
      <c r="N81" s="420"/>
      <c r="O81" s="420"/>
      <c r="P81" s="421"/>
    </row>
    <row r="82" spans="2:16" ht="12">
      <c r="B82" s="422" t="s">
        <v>162</v>
      </c>
      <c r="C82" s="423"/>
      <c r="D82" s="420"/>
      <c r="E82" s="420"/>
      <c r="F82" s="420"/>
      <c r="G82" s="420"/>
      <c r="H82" s="420"/>
      <c r="I82" s="420"/>
      <c r="J82" s="420"/>
      <c r="K82" s="420"/>
      <c r="L82" s="420"/>
      <c r="M82" s="420"/>
      <c r="N82" s="420"/>
      <c r="O82" s="420"/>
      <c r="P82" s="421"/>
    </row>
    <row r="83" spans="2:16" ht="12">
      <c r="B83" s="422"/>
      <c r="C83" s="423"/>
      <c r="D83" s="420"/>
      <c r="E83" s="420"/>
      <c r="F83" s="420"/>
      <c r="G83" s="420"/>
      <c r="H83" s="420"/>
      <c r="I83" s="420"/>
      <c r="J83" s="420"/>
      <c r="K83" s="420"/>
      <c r="L83" s="420"/>
      <c r="M83" s="420"/>
      <c r="N83" s="420"/>
      <c r="O83" s="420"/>
      <c r="P83" s="421"/>
    </row>
    <row r="84" spans="2:16" ht="12">
      <c r="B84" s="428" t="s">
        <v>262</v>
      </c>
      <c r="C84" s="423"/>
      <c r="D84" s="420"/>
      <c r="E84" s="420"/>
      <c r="F84" s="420"/>
      <c r="G84" s="420"/>
      <c r="H84" s="420"/>
      <c r="I84" s="420"/>
      <c r="J84" s="420"/>
      <c r="K84" s="420"/>
      <c r="L84" s="420"/>
      <c r="M84" s="420"/>
      <c r="N84" s="420"/>
      <c r="O84" s="420"/>
      <c r="P84" s="421"/>
    </row>
    <row r="85" spans="2:16" ht="12">
      <c r="B85" s="422" t="s">
        <v>165</v>
      </c>
      <c r="C85" s="423"/>
      <c r="D85" s="420"/>
      <c r="E85" s="420"/>
      <c r="F85" s="420"/>
      <c r="G85" s="420"/>
      <c r="H85" s="420"/>
      <c r="I85" s="420"/>
      <c r="J85" s="420"/>
      <c r="K85" s="420"/>
      <c r="L85" s="420"/>
      <c r="M85" s="420"/>
      <c r="N85" s="420"/>
      <c r="O85" s="420"/>
      <c r="P85" s="421"/>
    </row>
    <row r="86" spans="2:16" ht="12">
      <c r="B86" s="432"/>
      <c r="C86" s="423"/>
      <c r="D86" s="420"/>
      <c r="E86" s="420"/>
      <c r="F86" s="420"/>
      <c r="G86" s="420"/>
      <c r="H86" s="420"/>
      <c r="I86" s="420"/>
      <c r="J86" s="420"/>
      <c r="K86" s="420"/>
      <c r="L86" s="420"/>
      <c r="M86" s="420"/>
      <c r="N86" s="420"/>
      <c r="O86" s="420"/>
      <c r="P86" s="421"/>
    </row>
    <row r="87" spans="2:16" ht="12">
      <c r="B87" s="433" t="s">
        <v>263</v>
      </c>
      <c r="C87" s="425"/>
      <c r="D87" s="426"/>
      <c r="E87" s="426"/>
      <c r="F87" s="426"/>
      <c r="G87" s="426"/>
      <c r="H87" s="426"/>
      <c r="I87" s="426"/>
      <c r="J87" s="426"/>
      <c r="K87" s="426"/>
      <c r="L87" s="426"/>
      <c r="M87" s="426"/>
      <c r="N87" s="426"/>
      <c r="O87" s="426"/>
      <c r="P87" s="427"/>
    </row>
    <row r="88" spans="2:16" ht="12">
      <c r="B88" s="431" t="s">
        <v>264</v>
      </c>
      <c r="C88" s="423"/>
      <c r="D88" s="420"/>
      <c r="E88" s="420"/>
      <c r="F88" s="420"/>
      <c r="G88" s="420"/>
      <c r="H88" s="420"/>
      <c r="I88" s="420"/>
      <c r="J88" s="420"/>
      <c r="K88" s="420"/>
      <c r="L88" s="420"/>
      <c r="M88" s="420"/>
      <c r="N88" s="420"/>
      <c r="O88" s="420"/>
      <c r="P88" s="421"/>
    </row>
    <row r="89" spans="2:16" ht="12">
      <c r="B89" s="422" t="s">
        <v>188</v>
      </c>
      <c r="C89" s="423"/>
      <c r="D89" s="420"/>
      <c r="E89" s="420"/>
      <c r="F89" s="420"/>
      <c r="G89" s="420"/>
      <c r="H89" s="420"/>
      <c r="I89" s="420"/>
      <c r="J89" s="420"/>
      <c r="K89" s="420"/>
      <c r="L89" s="420"/>
      <c r="M89" s="420"/>
      <c r="N89" s="420"/>
      <c r="O89" s="420"/>
      <c r="P89" s="421"/>
    </row>
    <row r="90" spans="2:16" ht="12">
      <c r="B90" s="422" t="s">
        <v>189</v>
      </c>
      <c r="C90" s="423"/>
      <c r="D90" s="420"/>
      <c r="E90" s="420"/>
      <c r="F90" s="420"/>
      <c r="G90" s="420"/>
      <c r="H90" s="420"/>
      <c r="I90" s="420"/>
      <c r="J90" s="420"/>
      <c r="K90" s="420"/>
      <c r="L90" s="420"/>
      <c r="M90" s="420"/>
      <c r="N90" s="420"/>
      <c r="O90" s="420"/>
      <c r="P90" s="421"/>
    </row>
    <row r="91" spans="2:16" ht="12">
      <c r="B91" s="422"/>
      <c r="C91" s="423"/>
      <c r="D91" s="420"/>
      <c r="E91" s="420"/>
      <c r="F91" s="420"/>
      <c r="G91" s="420"/>
      <c r="H91" s="420"/>
      <c r="I91" s="420"/>
      <c r="J91" s="420"/>
      <c r="K91" s="420"/>
      <c r="L91" s="420"/>
      <c r="M91" s="420"/>
      <c r="N91" s="420"/>
      <c r="O91" s="420"/>
      <c r="P91" s="421"/>
    </row>
    <row r="92" spans="2:16" ht="12">
      <c r="B92" s="431" t="s">
        <v>265</v>
      </c>
      <c r="C92" s="423"/>
      <c r="D92" s="420"/>
      <c r="E92" s="420"/>
      <c r="F92" s="420"/>
      <c r="G92" s="420"/>
      <c r="H92" s="420"/>
      <c r="I92" s="420"/>
      <c r="J92" s="420"/>
      <c r="K92" s="420"/>
      <c r="L92" s="420"/>
      <c r="M92" s="420"/>
      <c r="N92" s="420"/>
      <c r="O92" s="420"/>
      <c r="P92" s="421"/>
    </row>
    <row r="93" spans="2:16" ht="12">
      <c r="B93" s="434" t="s">
        <v>266</v>
      </c>
      <c r="C93" s="423"/>
      <c r="D93" s="420"/>
      <c r="E93" s="420"/>
      <c r="F93" s="420"/>
      <c r="G93" s="420"/>
      <c r="H93" s="420"/>
      <c r="I93" s="420"/>
      <c r="J93" s="420"/>
      <c r="K93" s="420"/>
      <c r="L93" s="420"/>
      <c r="M93" s="420"/>
      <c r="N93" s="420"/>
      <c r="O93" s="420"/>
      <c r="P93" s="421"/>
    </row>
    <row r="94" spans="2:16" ht="12">
      <c r="B94" s="431" t="s">
        <v>185</v>
      </c>
      <c r="C94" s="423"/>
      <c r="D94" s="420"/>
      <c r="E94" s="420"/>
      <c r="F94" s="420"/>
      <c r="G94" s="420"/>
      <c r="H94" s="420"/>
      <c r="I94" s="420"/>
      <c r="J94" s="420"/>
      <c r="K94" s="420"/>
      <c r="L94" s="420"/>
      <c r="M94" s="420"/>
      <c r="N94" s="420"/>
      <c r="O94" s="420"/>
      <c r="P94" s="421"/>
    </row>
    <row r="95" spans="2:16" ht="12">
      <c r="B95" s="431" t="s">
        <v>186</v>
      </c>
      <c r="C95" s="423"/>
      <c r="D95" s="420"/>
      <c r="E95" s="420"/>
      <c r="F95" s="420"/>
      <c r="G95" s="420"/>
      <c r="H95" s="420"/>
      <c r="I95" s="420"/>
      <c r="J95" s="420"/>
      <c r="K95" s="420"/>
      <c r="L95" s="420"/>
      <c r="M95" s="420"/>
      <c r="N95" s="420"/>
      <c r="O95" s="420"/>
      <c r="P95" s="421"/>
    </row>
    <row r="96" spans="2:16" ht="12">
      <c r="B96" s="431" t="s">
        <v>267</v>
      </c>
      <c r="C96" s="423"/>
      <c r="D96" s="420"/>
      <c r="E96" s="420"/>
      <c r="F96" s="420"/>
      <c r="G96" s="420"/>
      <c r="H96" s="420"/>
      <c r="I96" s="420"/>
      <c r="J96" s="420"/>
      <c r="K96" s="420"/>
      <c r="L96" s="420"/>
      <c r="M96" s="420"/>
      <c r="N96" s="420"/>
      <c r="O96" s="420"/>
      <c r="P96" s="421"/>
    </row>
    <row r="97" spans="2:16" ht="12">
      <c r="B97" s="422"/>
      <c r="C97" s="423"/>
      <c r="D97" s="420"/>
      <c r="E97" s="420"/>
      <c r="F97" s="420"/>
      <c r="G97" s="420"/>
      <c r="H97" s="420"/>
      <c r="I97" s="420"/>
      <c r="J97" s="420"/>
      <c r="K97" s="420"/>
      <c r="L97" s="420"/>
      <c r="M97" s="420"/>
      <c r="N97" s="420"/>
      <c r="O97" s="420"/>
      <c r="P97" s="421"/>
    </row>
    <row r="98" spans="2:16" ht="12">
      <c r="B98" s="422" t="s">
        <v>238</v>
      </c>
      <c r="C98" s="423"/>
      <c r="D98" s="420"/>
      <c r="E98" s="420"/>
      <c r="F98" s="420"/>
      <c r="G98" s="420"/>
      <c r="H98" s="420"/>
      <c r="I98" s="420"/>
      <c r="J98" s="420"/>
      <c r="K98" s="420"/>
      <c r="L98" s="420"/>
      <c r="M98" s="420"/>
      <c r="N98" s="420"/>
      <c r="O98" s="420"/>
      <c r="P98" s="421"/>
    </row>
    <row r="99" spans="2:16" ht="12">
      <c r="B99" s="435" t="s">
        <v>206</v>
      </c>
      <c r="C99" s="423"/>
      <c r="D99" s="420"/>
      <c r="E99" s="420"/>
      <c r="F99" s="420"/>
      <c r="G99" s="420"/>
      <c r="H99" s="420"/>
      <c r="I99" s="420"/>
      <c r="J99" s="420"/>
      <c r="K99" s="420"/>
      <c r="L99" s="420"/>
      <c r="M99" s="420"/>
      <c r="N99" s="420"/>
      <c r="O99" s="420"/>
      <c r="P99" s="421"/>
    </row>
    <row r="100" spans="2:16" ht="12">
      <c r="B100" s="422" t="s">
        <v>235</v>
      </c>
      <c r="C100" s="423"/>
      <c r="D100" s="420"/>
      <c r="E100" s="420"/>
      <c r="F100" s="420"/>
      <c r="G100" s="420"/>
      <c r="H100" s="420"/>
      <c r="I100" s="420"/>
      <c r="J100" s="420"/>
      <c r="K100" s="420"/>
      <c r="L100" s="420"/>
      <c r="M100" s="420"/>
      <c r="N100" s="420"/>
      <c r="O100" s="420"/>
      <c r="P100" s="421"/>
    </row>
    <row r="101" spans="2:16" ht="12">
      <c r="B101" s="422" t="s">
        <v>268</v>
      </c>
      <c r="C101" s="423"/>
      <c r="D101" s="420"/>
      <c r="E101" s="420"/>
      <c r="F101" s="420"/>
      <c r="G101" s="420"/>
      <c r="H101" s="420"/>
      <c r="I101" s="420"/>
      <c r="J101" s="420"/>
      <c r="K101" s="420"/>
      <c r="L101" s="420"/>
      <c r="M101" s="420"/>
      <c r="N101" s="420"/>
      <c r="O101" s="420"/>
      <c r="P101" s="421"/>
    </row>
    <row r="102" spans="2:16" ht="12">
      <c r="B102" s="422"/>
      <c r="C102" s="423"/>
      <c r="D102" s="420"/>
      <c r="E102" s="420"/>
      <c r="F102" s="420"/>
      <c r="G102" s="420"/>
      <c r="H102" s="420"/>
      <c r="I102" s="420"/>
      <c r="J102" s="420"/>
      <c r="K102" s="420"/>
      <c r="L102" s="420"/>
      <c r="M102" s="420"/>
      <c r="N102" s="420"/>
      <c r="O102" s="420"/>
      <c r="P102" s="421"/>
    </row>
    <row r="103" spans="2:16" ht="12">
      <c r="B103" s="422" t="s">
        <v>269</v>
      </c>
      <c r="C103" s="423"/>
      <c r="D103" s="420"/>
      <c r="E103" s="420"/>
      <c r="F103" s="420"/>
      <c r="G103" s="420"/>
      <c r="H103" s="420"/>
      <c r="I103" s="420"/>
      <c r="J103" s="420"/>
      <c r="K103" s="420"/>
      <c r="L103" s="420"/>
      <c r="M103" s="420"/>
      <c r="N103" s="420"/>
      <c r="O103" s="420"/>
      <c r="P103" s="421"/>
    </row>
    <row r="104" spans="2:16" ht="12">
      <c r="B104" s="422" t="s">
        <v>191</v>
      </c>
      <c r="C104" s="423"/>
      <c r="D104" s="420"/>
      <c r="E104" s="420"/>
      <c r="F104" s="420"/>
      <c r="G104" s="420"/>
      <c r="H104" s="420"/>
      <c r="I104" s="420"/>
      <c r="J104" s="420"/>
      <c r="K104" s="420"/>
      <c r="L104" s="420"/>
      <c r="M104" s="420"/>
      <c r="N104" s="420"/>
      <c r="O104" s="420"/>
      <c r="P104" s="421"/>
    </row>
    <row r="105" spans="2:16" ht="12">
      <c r="B105" s="422"/>
      <c r="C105" s="423"/>
      <c r="D105" s="420"/>
      <c r="E105" s="420"/>
      <c r="F105" s="420"/>
      <c r="G105" s="420"/>
      <c r="H105" s="420"/>
      <c r="I105" s="420"/>
      <c r="J105" s="420"/>
      <c r="K105" s="420"/>
      <c r="L105" s="420"/>
      <c r="M105" s="420"/>
      <c r="N105" s="420"/>
      <c r="O105" s="420"/>
      <c r="P105" s="421"/>
    </row>
    <row r="106" spans="2:16" ht="12">
      <c r="B106" s="422" t="s">
        <v>270</v>
      </c>
      <c r="C106" s="423"/>
      <c r="D106" s="420"/>
      <c r="E106" s="420"/>
      <c r="F106" s="420"/>
      <c r="G106" s="420"/>
      <c r="H106" s="420"/>
      <c r="I106" s="420"/>
      <c r="J106" s="420"/>
      <c r="K106" s="420"/>
      <c r="L106" s="420"/>
      <c r="M106" s="420"/>
      <c r="N106" s="420"/>
      <c r="O106" s="420"/>
      <c r="P106" s="421"/>
    </row>
    <row r="107" spans="2:16" ht="12">
      <c r="B107" s="422" t="s">
        <v>204</v>
      </c>
      <c r="C107" s="423"/>
      <c r="D107" s="420"/>
      <c r="E107" s="420"/>
      <c r="F107" s="420"/>
      <c r="G107" s="420"/>
      <c r="H107" s="420"/>
      <c r="I107" s="420"/>
      <c r="J107" s="420"/>
      <c r="K107" s="420"/>
      <c r="L107" s="420"/>
      <c r="M107" s="420"/>
      <c r="N107" s="420"/>
      <c r="O107" s="420"/>
      <c r="P107" s="421"/>
    </row>
    <row r="108" spans="2:16" ht="12">
      <c r="B108" s="422" t="s">
        <v>205</v>
      </c>
      <c r="C108" s="423"/>
      <c r="D108" s="420"/>
      <c r="E108" s="420"/>
      <c r="F108" s="420"/>
      <c r="G108" s="420"/>
      <c r="H108" s="420"/>
      <c r="I108" s="420"/>
      <c r="J108" s="420"/>
      <c r="K108" s="420"/>
      <c r="L108" s="420"/>
      <c r="M108" s="420"/>
      <c r="N108" s="420"/>
      <c r="O108" s="420"/>
      <c r="P108" s="421"/>
    </row>
    <row r="109" spans="2:16" ht="12">
      <c r="B109" s="422"/>
      <c r="C109" s="423"/>
      <c r="D109" s="420"/>
      <c r="E109" s="420"/>
      <c r="F109" s="420"/>
      <c r="G109" s="420"/>
      <c r="H109" s="420"/>
      <c r="I109" s="420"/>
      <c r="J109" s="420"/>
      <c r="K109" s="420"/>
      <c r="L109" s="420"/>
      <c r="M109" s="420"/>
      <c r="N109" s="420"/>
      <c r="O109" s="420"/>
      <c r="P109" s="421"/>
    </row>
    <row r="110" spans="2:16" ht="12">
      <c r="B110" s="422" t="s">
        <v>271</v>
      </c>
      <c r="C110" s="423"/>
      <c r="D110" s="420"/>
      <c r="E110" s="420"/>
      <c r="F110" s="420"/>
      <c r="G110" s="420"/>
      <c r="H110" s="420"/>
      <c r="I110" s="420"/>
      <c r="J110" s="420"/>
      <c r="K110" s="420"/>
      <c r="L110" s="420"/>
      <c r="M110" s="420"/>
      <c r="N110" s="420"/>
      <c r="O110" s="420"/>
      <c r="P110" s="421"/>
    </row>
    <row r="111" spans="2:16" ht="12">
      <c r="B111" s="432"/>
      <c r="C111" s="436"/>
      <c r="D111" s="437"/>
      <c r="E111" s="437"/>
      <c r="F111" s="437"/>
      <c r="G111" s="437"/>
      <c r="H111" s="437"/>
      <c r="I111" s="437"/>
      <c r="J111" s="437"/>
      <c r="K111" s="437"/>
      <c r="L111" s="437"/>
      <c r="M111" s="437"/>
      <c r="N111" s="437"/>
      <c r="O111" s="437"/>
      <c r="P111" s="438"/>
    </row>
    <row r="112" spans="2:16" ht="12">
      <c r="B112" s="422" t="s">
        <v>231</v>
      </c>
      <c r="C112" s="56"/>
      <c r="D112" s="50"/>
      <c r="E112" s="50"/>
      <c r="F112" s="50"/>
      <c r="G112" s="50"/>
      <c r="H112" s="50"/>
      <c r="I112" s="50"/>
      <c r="J112" s="50"/>
      <c r="K112" s="50" t="str">
        <f>"This update is "&amp;RIGHT('Daniels Tables'!G2,10)</f>
        <v>This update is  Rev3.0.00</v>
      </c>
      <c r="L112" s="50"/>
      <c r="M112" s="50"/>
      <c r="N112" s="387" t="s">
        <v>232</v>
      </c>
      <c r="O112" s="414">
        <f>'Daniels Tables'!Q2</f>
        <v>40665</v>
      </c>
      <c r="P112" s="439"/>
    </row>
    <row r="113" spans="2:16" ht="12">
      <c r="B113" s="435"/>
      <c r="C113" s="56"/>
      <c r="D113" s="50"/>
      <c r="E113" s="440" t="s">
        <v>233</v>
      </c>
      <c r="F113" s="970" t="s">
        <v>15</v>
      </c>
      <c r="G113" s="970"/>
      <c r="H113" s="970"/>
      <c r="I113" s="970"/>
      <c r="J113" s="970"/>
      <c r="K113" s="50"/>
      <c r="L113" s="50"/>
      <c r="M113" s="50"/>
      <c r="N113" s="50"/>
      <c r="O113" s="50"/>
      <c r="P113" s="439"/>
    </row>
    <row r="114" spans="2:16" ht="12">
      <c r="B114" s="435"/>
      <c r="C114" s="56"/>
      <c r="D114" s="50"/>
      <c r="E114" s="50"/>
      <c r="F114" s="50"/>
      <c r="G114" s="50"/>
      <c r="H114" s="50"/>
      <c r="I114" s="50"/>
      <c r="J114" s="50"/>
      <c r="K114" s="50"/>
      <c r="L114" s="50"/>
      <c r="M114" s="50"/>
      <c r="N114" s="50"/>
      <c r="O114" s="50"/>
      <c r="P114" s="439"/>
    </row>
    <row r="115" spans="2:16" ht="12">
      <c r="B115" s="442" t="s">
        <v>18</v>
      </c>
      <c r="C115" s="50"/>
      <c r="D115" s="50"/>
      <c r="E115" s="50"/>
      <c r="F115" s="50"/>
      <c r="G115" s="50"/>
      <c r="H115" s="50"/>
      <c r="I115" s="50"/>
      <c r="J115" s="50"/>
      <c r="K115" s="50"/>
      <c r="L115" s="50"/>
      <c r="M115" s="50"/>
      <c r="N115" s="50"/>
      <c r="O115" s="50"/>
      <c r="P115" s="439"/>
    </row>
    <row r="116" spans="2:16" ht="12">
      <c r="B116" s="443" t="s">
        <v>44</v>
      </c>
      <c r="C116" s="50"/>
      <c r="D116" s="50"/>
      <c r="E116" s="50"/>
      <c r="F116" s="50"/>
      <c r="G116" s="50"/>
      <c r="H116" s="50"/>
      <c r="I116" s="50"/>
      <c r="J116" s="50"/>
      <c r="K116" s="50"/>
      <c r="L116" s="50"/>
      <c r="M116" s="50"/>
      <c r="N116" s="50"/>
      <c r="O116" s="50"/>
      <c r="P116" s="439"/>
    </row>
    <row r="117" spans="2:16" ht="12">
      <c r="B117" s="435" t="s">
        <v>43</v>
      </c>
      <c r="C117" s="50"/>
      <c r="D117" s="50"/>
      <c r="E117" s="50"/>
      <c r="F117" s="50"/>
      <c r="G117" s="50"/>
      <c r="H117" s="50"/>
      <c r="I117" s="50"/>
      <c r="J117" s="50"/>
      <c r="K117" s="50"/>
      <c r="L117" s="50"/>
      <c r="M117" s="50"/>
      <c r="N117" s="50"/>
      <c r="O117" s="50"/>
      <c r="P117" s="439"/>
    </row>
    <row r="118" spans="2:16" ht="12">
      <c r="B118" s="435" t="s">
        <v>19</v>
      </c>
      <c r="C118" s="50"/>
      <c r="D118" s="50"/>
      <c r="E118" s="50"/>
      <c r="F118" s="50"/>
      <c r="G118" s="50"/>
      <c r="H118" s="50"/>
      <c r="I118" s="50"/>
      <c r="J118" s="50"/>
      <c r="K118" s="50"/>
      <c r="L118" s="50"/>
      <c r="M118" s="50"/>
      <c r="N118" s="50"/>
      <c r="O118" s="50"/>
      <c r="P118" s="439"/>
    </row>
    <row r="119" spans="2:16" ht="12">
      <c r="B119" s="435"/>
      <c r="C119" s="56"/>
      <c r="D119" s="50"/>
      <c r="E119" s="50"/>
      <c r="F119" s="50"/>
      <c r="G119" s="50"/>
      <c r="H119" s="50"/>
      <c r="I119" s="50"/>
      <c r="J119" s="50"/>
      <c r="K119" s="50"/>
      <c r="L119" s="50"/>
      <c r="M119" s="50"/>
      <c r="N119" s="50"/>
      <c r="O119" s="50"/>
      <c r="P119" s="439"/>
    </row>
    <row r="120" spans="2:16" ht="12">
      <c r="B120" s="435" t="s">
        <v>225</v>
      </c>
      <c r="C120" s="56"/>
      <c r="D120" s="50"/>
      <c r="E120" s="50"/>
      <c r="F120" s="50"/>
      <c r="G120" s="50"/>
      <c r="H120" s="50"/>
      <c r="I120" s="50"/>
      <c r="J120" s="50"/>
      <c r="K120" s="50"/>
      <c r="L120" s="50"/>
      <c r="M120" s="50"/>
      <c r="N120" s="50"/>
      <c r="O120" s="50"/>
      <c r="P120" s="439"/>
    </row>
    <row r="121" spans="2:16" ht="12">
      <c r="B121" s="435"/>
      <c r="C121" s="440" t="s">
        <v>20</v>
      </c>
      <c r="D121" s="970" t="s">
        <v>224</v>
      </c>
      <c r="E121" s="970"/>
      <c r="F121" s="970"/>
      <c r="G121" s="970"/>
      <c r="H121" s="971" t="s">
        <v>227</v>
      </c>
      <c r="I121" s="971"/>
      <c r="J121" s="970" t="s">
        <v>226</v>
      </c>
      <c r="K121" s="970"/>
      <c r="L121" s="970"/>
      <c r="M121" s="970"/>
      <c r="N121" s="970"/>
      <c r="O121" s="74"/>
      <c r="P121" s="439"/>
    </row>
    <row r="122" spans="2:16" ht="12">
      <c r="B122" s="435"/>
      <c r="C122" s="440"/>
      <c r="D122" s="441"/>
      <c r="E122" s="441"/>
      <c r="F122" s="441"/>
      <c r="G122" s="441"/>
      <c r="H122" s="552"/>
      <c r="I122" s="552"/>
      <c r="J122" s="441"/>
      <c r="K122" s="441"/>
      <c r="L122" s="441"/>
      <c r="M122" s="441"/>
      <c r="N122" s="441"/>
      <c r="O122" s="74"/>
      <c r="P122" s="439"/>
    </row>
    <row r="123" spans="2:16" ht="12">
      <c r="B123" s="435" t="s">
        <v>310</v>
      </c>
      <c r="C123" s="440"/>
      <c r="D123" s="441"/>
      <c r="E123" s="441"/>
      <c r="F123" s="441"/>
      <c r="G123" s="441"/>
      <c r="H123" s="552"/>
      <c r="I123" s="552"/>
      <c r="J123" s="441"/>
      <c r="K123" s="441"/>
      <c r="L123" s="441"/>
      <c r="M123" s="441"/>
      <c r="N123" s="441"/>
      <c r="O123" s="74"/>
      <c r="P123" s="439"/>
    </row>
    <row r="124" spans="2:16" ht="12">
      <c r="B124" s="435"/>
      <c r="C124" s="440" t="s">
        <v>20</v>
      </c>
      <c r="D124" s="972" t="s">
        <v>308</v>
      </c>
      <c r="E124" s="972"/>
      <c r="F124" s="972"/>
      <c r="G124" s="972"/>
      <c r="H124" s="971" t="s">
        <v>227</v>
      </c>
      <c r="I124" s="971"/>
      <c r="J124" s="972" t="s">
        <v>309</v>
      </c>
      <c r="K124" s="972"/>
      <c r="L124" s="972"/>
      <c r="M124" s="972"/>
      <c r="N124" s="972"/>
      <c r="O124" s="972"/>
      <c r="P124" s="973"/>
    </row>
    <row r="125" spans="2:16" ht="12">
      <c r="B125" s="435"/>
      <c r="C125" s="56"/>
      <c r="D125" s="50"/>
      <c r="E125" s="50"/>
      <c r="F125" s="50"/>
      <c r="G125" s="50"/>
      <c r="H125" s="50"/>
      <c r="I125" s="50"/>
      <c r="J125" s="50"/>
      <c r="K125" s="50"/>
      <c r="L125" s="50"/>
      <c r="M125" s="50"/>
      <c r="N125" s="50"/>
      <c r="O125" s="50"/>
      <c r="P125" s="439"/>
    </row>
    <row r="126" spans="2:16" ht="12">
      <c r="B126" s="442" t="s">
        <v>16</v>
      </c>
      <c r="C126" s="50"/>
      <c r="D126" s="50"/>
      <c r="E126" s="50"/>
      <c r="F126" s="50"/>
      <c r="G126" s="50"/>
      <c r="H126" s="50"/>
      <c r="I126" s="50"/>
      <c r="J126" s="50"/>
      <c r="K126" s="50"/>
      <c r="L126" s="50"/>
      <c r="M126" s="50"/>
      <c r="N126" s="50"/>
      <c r="O126" s="50"/>
      <c r="P126" s="439"/>
    </row>
    <row r="127" spans="2:16" ht="12">
      <c r="B127" s="435" t="s">
        <v>239</v>
      </c>
      <c r="C127" s="50"/>
      <c r="D127" s="50"/>
      <c r="E127" s="50"/>
      <c r="F127" s="50"/>
      <c r="G127" s="50"/>
      <c r="H127" s="50"/>
      <c r="I127" s="50"/>
      <c r="J127" s="50"/>
      <c r="K127" s="50"/>
      <c r="L127" s="50"/>
      <c r="M127" s="50"/>
      <c r="N127" s="50"/>
      <c r="O127" s="50"/>
      <c r="P127" s="439"/>
    </row>
    <row r="128" spans="2:16" ht="12">
      <c r="B128" s="435"/>
      <c r="C128" s="50" t="s">
        <v>17</v>
      </c>
      <c r="D128" s="50"/>
      <c r="E128" s="50"/>
      <c r="F128" s="50"/>
      <c r="G128" s="50"/>
      <c r="H128" s="50"/>
      <c r="I128" s="50"/>
      <c r="J128" s="50"/>
      <c r="K128" s="50"/>
      <c r="L128" s="50"/>
      <c r="M128" s="50"/>
      <c r="N128" s="50"/>
      <c r="O128" s="50"/>
      <c r="P128" s="439"/>
    </row>
    <row r="129" spans="2:16" ht="12">
      <c r="B129" s="444" t="s">
        <v>105</v>
      </c>
      <c r="C129" s="50"/>
      <c r="D129" s="50"/>
      <c r="E129" s="50"/>
      <c r="F129" s="50"/>
      <c r="G129" s="50"/>
      <c r="H129" s="50"/>
      <c r="I129" s="50"/>
      <c r="J129" s="50"/>
      <c r="K129" s="50"/>
      <c r="L129" s="50"/>
      <c r="M129" s="50"/>
      <c r="N129" s="50"/>
      <c r="O129" s="50"/>
      <c r="P129" s="439"/>
    </row>
    <row r="130" spans="2:16" ht="12.75" thickBot="1">
      <c r="B130" s="445"/>
      <c r="C130" s="446"/>
      <c r="D130" s="447"/>
      <c r="E130" s="447"/>
      <c r="F130" s="447"/>
      <c r="G130" s="447"/>
      <c r="H130" s="447"/>
      <c r="I130" s="447"/>
      <c r="J130" s="447"/>
      <c r="K130" s="447"/>
      <c r="L130" s="447"/>
      <c r="M130" s="447"/>
      <c r="N130" s="447"/>
      <c r="O130" s="447"/>
      <c r="P130" s="448"/>
    </row>
  </sheetData>
  <sheetProtection sheet="1" objects="1" scenarios="1"/>
  <mergeCells count="7">
    <mergeCell ref="D121:G121"/>
    <mergeCell ref="H121:I121"/>
    <mergeCell ref="F113:J113"/>
    <mergeCell ref="D124:G124"/>
    <mergeCell ref="H124:I124"/>
    <mergeCell ref="J121:N121"/>
    <mergeCell ref="J124:P124"/>
  </mergeCells>
  <hyperlinks>
    <hyperlink ref="D121" r:id="rId1" display="http://www.mcmillanrunning.com"/>
    <hyperlink ref="J121" r:id="rId2" display="http://www.mcmillanrunning.com/training4.htm"/>
    <hyperlink ref="F113" r:id="rId3" display="http://www.electricblues.com/runpro.html"/>
    <hyperlink ref="F113:J113" r:id="rId4" display="http://www.electricblues.com/runpro.html"/>
    <hyperlink ref="D124" r:id="rId5" display="http://www.mcmillanrunning.com"/>
    <hyperlink ref="J124" r:id="rId6" display="Joe Friel's Quick Guide to Training with Heart Rate, Power and Pace"/>
    <hyperlink ref="D124:G124" r:id="rId7" display="http://www.joefrielsblog.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dyhjn</dc:creator>
  <cp:keywords/>
  <dc:description/>
  <cp:lastModifiedBy>Miguel Angel García Blázquez</cp:lastModifiedBy>
  <cp:lastPrinted>2006-08-24T16:40:42Z</cp:lastPrinted>
  <dcterms:created xsi:type="dcterms:W3CDTF">2005-12-06T16:45:09Z</dcterms:created>
  <dcterms:modified xsi:type="dcterms:W3CDTF">2012-01-23T11:35:51Z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